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2-13 TO 2019-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<sst xmlns="http://schemas.openxmlformats.org/spreadsheetml/2006/main" count="148" uniqueCount="44">
  <si>
    <t>Sl. No</t>
  </si>
  <si>
    <t>Crop</t>
  </si>
  <si>
    <t>2012-13</t>
  </si>
  <si>
    <t>2013-14</t>
  </si>
  <si>
    <t>2014-15</t>
  </si>
  <si>
    <t>2015-16</t>
  </si>
  <si>
    <t>2016-17</t>
  </si>
  <si>
    <t>2017-18</t>
  </si>
  <si>
    <t>2018-19</t>
  </si>
  <si>
    <t xml:space="preserve">2019-20        </t>
  </si>
  <si>
    <t>Kharif</t>
  </si>
  <si>
    <t>Rabi</t>
  </si>
  <si>
    <t>Requirement</t>
  </si>
  <si>
    <t>Sale</t>
  </si>
  <si>
    <t xml:space="preserve">Rabi </t>
  </si>
  <si>
    <t>Indent</t>
  </si>
  <si>
    <t>Inside Stock supply</t>
  </si>
  <si>
    <t>Outside Stock supply</t>
  </si>
  <si>
    <t>Total Supply</t>
  </si>
  <si>
    <t>Total Sale</t>
  </si>
  <si>
    <t xml:space="preserve">Inside Stock </t>
  </si>
  <si>
    <t xml:space="preserve">Outside Stock </t>
  </si>
  <si>
    <t>Paddy</t>
  </si>
  <si>
    <t>Maize</t>
  </si>
  <si>
    <t>Ragi</t>
  </si>
  <si>
    <t>Wheat</t>
  </si>
  <si>
    <t>Moong</t>
  </si>
  <si>
    <t>Biri</t>
  </si>
  <si>
    <t>Arhar</t>
  </si>
  <si>
    <t>F.Pea</t>
  </si>
  <si>
    <t>Gram</t>
  </si>
  <si>
    <t>Til</t>
  </si>
  <si>
    <t>Mustard</t>
  </si>
  <si>
    <t>Groundnut</t>
  </si>
  <si>
    <t>Sunflower</t>
  </si>
  <si>
    <t>Safflower</t>
  </si>
  <si>
    <t>Niger</t>
  </si>
  <si>
    <t>Jute</t>
  </si>
  <si>
    <t>Mesta/sunhemp</t>
  </si>
  <si>
    <t>Dhanicha</t>
  </si>
  <si>
    <t xml:space="preserve">Veg.seeds </t>
  </si>
  <si>
    <t>Total(N.P)</t>
  </si>
  <si>
    <t>G.Total</t>
  </si>
  <si>
    <t>% of Supply(N.P)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</si>
</sst>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justify" vertical="top"/>
    </xf>
    <xf numFmtId="0" fontId="1" fillId="0" borderId="11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/>
    </xf>
    <xf numFmtId="0" fontId="1" fillId="0" borderId="11" xfId="0" applyFont="1" applyFill="1" applyBorder="1" applyAlignment="1">
      <alignment horizontal="justify" vertical="top"/>
    </xf>
    <xf numFmtId="0" fontId="1" fillId="0" borderId="12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0" fontId="1" fillId="0" borderId="13" xfId="0" applyFont="1" applyBorder="1" applyAlignment="1">
      <alignment horizontal="justify" vertical="top"/>
    </xf>
    <xf numFmtId="1" fontId="1" fillId="0" borderId="0" xfId="0" applyNumberFormat="1" applyFont="1" applyBorder="1" applyAlignment="1">
      <alignment horizontal="right" vertical="top"/>
    </xf>
    <xf numFmtId="1" fontId="1" fillId="0" borderId="0" xfId="0" applyNumberFormat="1" applyFont="1" applyFill="1" applyBorder="1" applyAlignment="1">
      <alignment horizontal="right" vertical="top"/>
    </xf>
    <xf numFmtId="2" fontId="1" fillId="0" borderId="0" xfId="0" applyNumberFormat="1" applyFont="1" applyBorder="1" applyAlignment="1">
      <alignment horizontal="right" vertical="top"/>
    </xf>
    <xf numFmtId="2" fontId="1" fillId="0" borderId="0" xfId="0" applyNumberFormat="1" applyFont="1" applyFill="1" applyBorder="1" applyAlignment="1">
      <alignment horizontal="right" vertical="top"/>
    </xf>
    <xf numFmtId="2" fontId="1" fillId="0" borderId="14" xfId="0" applyNumberFormat="1" applyFont="1" applyFill="1" applyBorder="1" applyAlignment="1">
      <alignment horizontal="right" vertical="top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4" xfId="0" applyNumberFormat="1" applyFont="1" applyBorder="1" applyAlignment="1">
      <alignment horizontal="right" vertical="top"/>
    </xf>
    <xf numFmtId="2" fontId="1" fillId="0" borderId="15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justify" vertical="top"/>
    </xf>
    <xf numFmtId="2" fontId="1" fillId="0" borderId="10" xfId="0" applyNumberFormat="1" applyFont="1" applyFill="1" applyBorder="1" applyAlignment="1">
      <alignment horizontal="right" vertical="top"/>
    </xf>
    <xf numFmtId="2" fontId="1" fillId="0" borderId="11" xfId="0" applyNumberFormat="1" applyFont="1" applyFill="1" applyBorder="1" applyAlignment="1">
      <alignment horizontal="right" vertical="top"/>
    </xf>
    <xf numFmtId="2" fontId="1" fillId="0" borderId="12" xfId="0" applyNumberFormat="1" applyFont="1" applyFill="1" applyBorder="1" applyAlignment="1">
      <alignment horizontal="right" vertical="top"/>
    </xf>
    <xf numFmtId="2" fontId="1" fillId="0" borderId="10" xfId="0" applyNumberFormat="1" applyFont="1" applyBorder="1" applyAlignment="1">
      <alignment horizontal="right" vertical="top"/>
    </xf>
    <xf numFmtId="2" fontId="1" fillId="0" borderId="11" xfId="0" applyNumberFormat="1" applyFont="1" applyBorder="1" applyAlignment="1">
      <alignment horizontal="right" vertical="top"/>
    </xf>
    <xf numFmtId="2" fontId="1" fillId="0" borderId="12" xfId="0" applyNumberFormat="1" applyFont="1" applyBorder="1" applyAlignment="1">
      <alignment horizontal="right" vertical="top"/>
    </xf>
    <xf numFmtId="2" fontId="1" fillId="0" borderId="16" xfId="0" applyNumberFormat="1" applyFont="1" applyBorder="1" applyAlignment="1">
      <alignment horizontal="right" vertical="top"/>
    </xf>
    <xf numFmtId="2" fontId="1" fillId="0" borderId="0" xfId="0" applyNumberFormat="1" applyFont="1" applyAlignment="1">
      <alignment horizontal="right"/>
    </xf>
    <xf numFmtId="0" fontId="1" fillId="0" borderId="17" xfId="0" applyFont="1" applyBorder="1" applyAlignment="1">
      <alignment horizontal="justify" vertical="top"/>
    </xf>
    <xf numFmtId="0" fontId="1" fillId="0" borderId="14" xfId="0" applyFont="1" applyBorder="1" applyAlignment="1">
      <alignment horizontal="justify" vertical="top"/>
    </xf>
    <xf numFmtId="0" fontId="1" fillId="0" borderId="10" xfId="0" applyFont="1" applyBorder="1" applyAlignment="1">
      <alignment horizontal="justify" vertical="top"/>
    </xf>
    <xf numFmtId="0" fontId="1" fillId="0" borderId="18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170" fontId="1" fillId="0" borderId="17" xfId="44" applyFont="1" applyBorder="1" applyAlignment="1">
      <alignment horizontal="center" vertical="top" wrapText="1"/>
    </xf>
    <xf numFmtId="170" fontId="1" fillId="0" borderId="19" xfId="44" applyFont="1" applyBorder="1" applyAlignment="1">
      <alignment horizontal="center" vertical="top" wrapText="1"/>
    </xf>
    <xf numFmtId="170" fontId="1" fillId="0" borderId="20" xfId="44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justify" vertical="top"/>
    </xf>
    <xf numFmtId="0" fontId="1" fillId="0" borderId="11" xfId="0" applyFont="1" applyFill="1" applyBorder="1" applyAlignment="1">
      <alignment horizontal="justify" vertical="top"/>
    </xf>
    <xf numFmtId="0" fontId="1" fillId="0" borderId="15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T27"/>
  <sheetViews>
    <sheetView tabSelected="1" zoomScalePageLayoutView="0" workbookViewId="0" topLeftCell="CA1">
      <selection activeCell="F28" sqref="F28"/>
    </sheetView>
  </sheetViews>
  <sheetFormatPr defaultColWidth="14.8515625" defaultRowHeight="12.75"/>
  <cols>
    <col min="1" max="1" width="4.00390625" style="1" bestFit="1" customWidth="1"/>
    <col min="2" max="2" width="12.28125" style="1" customWidth="1"/>
    <col min="3" max="4" width="7.00390625" style="1" customWidth="1"/>
    <col min="5" max="5" width="7.7109375" style="1" customWidth="1"/>
    <col min="6" max="7" width="7.00390625" style="1" customWidth="1"/>
    <col min="8" max="8" width="9.00390625" style="1" customWidth="1"/>
    <col min="9" max="9" width="7.7109375" style="1" customWidth="1"/>
    <col min="10" max="12" width="7.00390625" style="1" customWidth="1"/>
    <col min="13" max="13" width="9.00390625" style="1" customWidth="1"/>
    <col min="14" max="14" width="12.421875" style="1" customWidth="1"/>
    <col min="15" max="16" width="9.57421875" style="1" customWidth="1"/>
    <col min="17" max="17" width="7.7109375" style="1" customWidth="1"/>
    <col min="18" max="19" width="9.57421875" style="1" customWidth="1"/>
    <col min="20" max="21" width="8.57421875" style="1" customWidth="1"/>
    <col min="22" max="23" width="9.57421875" style="1" customWidth="1"/>
    <col min="24" max="24" width="12.00390625" style="1" customWidth="1"/>
    <col min="25" max="25" width="8.57421875" style="1" customWidth="1"/>
    <col min="26" max="28" width="9.57421875" style="1" customWidth="1"/>
    <col min="29" max="29" width="8.57421875" style="1" customWidth="1"/>
    <col min="30" max="30" width="9.28125" style="1" customWidth="1"/>
    <col min="31" max="31" width="9.57421875" style="1" customWidth="1"/>
    <col min="32" max="32" width="8.57421875" style="1" customWidth="1"/>
    <col min="33" max="33" width="7.7109375" style="1" customWidth="1"/>
    <col min="34" max="34" width="8.57421875" style="1" customWidth="1"/>
    <col min="35" max="36" width="9.57421875" style="1" customWidth="1"/>
    <col min="37" max="37" width="8.57421875" style="1" customWidth="1"/>
    <col min="38" max="40" width="9.57421875" style="1" customWidth="1"/>
    <col min="41" max="41" width="7.8515625" style="1" customWidth="1"/>
    <col min="42" max="43" width="9.57421875" style="1" customWidth="1"/>
    <col min="44" max="46" width="8.57421875" style="1" customWidth="1"/>
    <col min="47" max="52" width="9.57421875" style="1" customWidth="1"/>
    <col min="53" max="53" width="7.8515625" style="1" customWidth="1"/>
    <col min="54" max="55" width="9.57421875" style="1" customWidth="1"/>
    <col min="56" max="58" width="8.57421875" style="1" customWidth="1"/>
    <col min="59" max="59" width="9.7109375" style="1" customWidth="1"/>
    <col min="60" max="60" width="9.57421875" style="1" customWidth="1"/>
    <col min="61" max="61" width="8.57421875" style="1" customWidth="1"/>
    <col min="62" max="62" width="9.57421875" style="1" customWidth="1"/>
    <col min="63" max="63" width="9.28125" style="1" customWidth="1"/>
    <col min="64" max="64" width="9.57421875" style="1" customWidth="1"/>
    <col min="65" max="65" width="8.28125" style="1" customWidth="1"/>
    <col min="66" max="66" width="9.57421875" style="1" customWidth="1"/>
    <col min="67" max="67" width="9.421875" style="1" customWidth="1"/>
    <col min="68" max="70" width="8.57421875" style="1" customWidth="1"/>
    <col min="71" max="71" width="9.7109375" style="1" customWidth="1"/>
    <col min="72" max="72" width="9.57421875" style="1" customWidth="1"/>
    <col min="73" max="73" width="8.57421875" style="1" customWidth="1"/>
    <col min="74" max="74" width="14.140625" style="1" customWidth="1"/>
    <col min="75" max="76" width="9.57421875" style="1" customWidth="1"/>
    <col min="77" max="77" width="8.57421875" style="1" customWidth="1"/>
    <col min="78" max="79" width="9.57421875" style="1" customWidth="1"/>
    <col min="80" max="82" width="8.57421875" style="1" customWidth="1"/>
    <col min="83" max="83" width="9.421875" style="1" customWidth="1"/>
    <col min="84" max="84" width="10.00390625" style="1" customWidth="1"/>
    <col min="85" max="85" width="9.00390625" style="1" customWidth="1"/>
    <col min="86" max="86" width="10.57421875" style="1" customWidth="1"/>
    <col min="87" max="87" width="9.28125" style="1" customWidth="1"/>
    <col min="88" max="88" width="9.57421875" style="1" customWidth="1"/>
    <col min="89" max="89" width="8.57421875" style="1" customWidth="1"/>
    <col min="90" max="90" width="9.57421875" style="1" customWidth="1"/>
    <col min="91" max="91" width="9.28125" style="1" customWidth="1"/>
    <col min="92" max="93" width="8.57421875" style="1" customWidth="1"/>
    <col min="94" max="94" width="9.421875" style="1" customWidth="1"/>
    <col min="95" max="95" width="9.8515625" style="1" customWidth="1"/>
    <col min="96" max="96" width="9.421875" style="1" customWidth="1"/>
    <col min="97" max="97" width="8.57421875" style="1" customWidth="1"/>
    <col min="98" max="98" width="13.00390625" style="1" customWidth="1"/>
    <col min="99" max="16384" width="14.8515625" style="1" customWidth="1"/>
  </cols>
  <sheetData>
    <row r="1" spans="1:98" ht="41.25" customHeight="1">
      <c r="A1" s="27" t="s">
        <v>0</v>
      </c>
      <c r="B1" s="30" t="s">
        <v>1</v>
      </c>
      <c r="C1" s="33" t="s">
        <v>2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 t="s">
        <v>3</v>
      </c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 t="s">
        <v>4</v>
      </c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 t="s">
        <v>5</v>
      </c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4" t="s">
        <v>6</v>
      </c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6"/>
      <c r="BK1" s="37" t="s">
        <v>7</v>
      </c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8"/>
      <c r="BW1" s="37" t="s">
        <v>8</v>
      </c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8"/>
      <c r="CI1" s="39" t="s">
        <v>9</v>
      </c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1"/>
    </row>
    <row r="2" spans="1:98" ht="53.25" customHeight="1">
      <c r="A2" s="28"/>
      <c r="B2" s="31"/>
      <c r="C2" s="42" t="s">
        <v>10</v>
      </c>
      <c r="D2" s="43"/>
      <c r="E2" s="43"/>
      <c r="F2" s="43"/>
      <c r="G2" s="43" t="s">
        <v>11</v>
      </c>
      <c r="H2" s="43"/>
      <c r="I2" s="43"/>
      <c r="J2" s="43"/>
      <c r="K2" s="2"/>
      <c r="L2" s="2"/>
      <c r="M2" s="2"/>
      <c r="N2" s="2"/>
      <c r="O2" s="42" t="s">
        <v>10</v>
      </c>
      <c r="P2" s="43"/>
      <c r="Q2" s="43"/>
      <c r="R2" s="43"/>
      <c r="S2" s="43" t="s">
        <v>11</v>
      </c>
      <c r="T2" s="43"/>
      <c r="U2" s="43"/>
      <c r="V2" s="43"/>
      <c r="W2" s="2"/>
      <c r="X2" s="2"/>
      <c r="Y2" s="2"/>
      <c r="Z2" s="2"/>
      <c r="AA2" s="42" t="s">
        <v>10</v>
      </c>
      <c r="AB2" s="43"/>
      <c r="AC2" s="43"/>
      <c r="AD2" s="43"/>
      <c r="AE2" s="43" t="s">
        <v>11</v>
      </c>
      <c r="AF2" s="43"/>
      <c r="AG2" s="43"/>
      <c r="AH2" s="43"/>
      <c r="AI2" s="2"/>
      <c r="AJ2" s="2"/>
      <c r="AK2" s="2"/>
      <c r="AL2" s="2"/>
      <c r="AM2" s="42" t="s">
        <v>10</v>
      </c>
      <c r="AN2" s="43"/>
      <c r="AO2" s="43"/>
      <c r="AP2" s="43"/>
      <c r="AQ2" s="43" t="s">
        <v>11</v>
      </c>
      <c r="AR2" s="43"/>
      <c r="AS2" s="43"/>
      <c r="AT2" s="43"/>
      <c r="AU2" s="2"/>
      <c r="AV2" s="2"/>
      <c r="AW2" s="2"/>
      <c r="AX2" s="2"/>
      <c r="AY2" s="42" t="s">
        <v>10</v>
      </c>
      <c r="AZ2" s="43"/>
      <c r="BA2" s="43"/>
      <c r="BB2" s="43"/>
      <c r="BC2" s="43" t="s">
        <v>11</v>
      </c>
      <c r="BD2" s="43"/>
      <c r="BE2" s="43"/>
      <c r="BF2" s="43"/>
      <c r="BG2" s="44" t="s">
        <v>12</v>
      </c>
      <c r="BH2" s="43" t="s">
        <v>13</v>
      </c>
      <c r="BI2" s="43"/>
      <c r="BJ2" s="46"/>
      <c r="BK2" s="42" t="s">
        <v>10</v>
      </c>
      <c r="BL2" s="43"/>
      <c r="BM2" s="43"/>
      <c r="BN2" s="43"/>
      <c r="BO2" s="43" t="s">
        <v>11</v>
      </c>
      <c r="BP2" s="43"/>
      <c r="BQ2" s="43"/>
      <c r="BR2" s="43"/>
      <c r="BS2" s="44" t="s">
        <v>12</v>
      </c>
      <c r="BT2" s="43" t="s">
        <v>13</v>
      </c>
      <c r="BU2" s="43"/>
      <c r="BV2" s="46"/>
      <c r="BW2" s="42" t="s">
        <v>10</v>
      </c>
      <c r="BX2" s="43"/>
      <c r="BY2" s="43"/>
      <c r="BZ2" s="43"/>
      <c r="CA2" s="43" t="s">
        <v>11</v>
      </c>
      <c r="CB2" s="43"/>
      <c r="CC2" s="43"/>
      <c r="CD2" s="43"/>
      <c r="CE2" s="44" t="s">
        <v>12</v>
      </c>
      <c r="CF2" s="43" t="s">
        <v>13</v>
      </c>
      <c r="CG2" s="43"/>
      <c r="CH2" s="46"/>
      <c r="CI2" s="42" t="s">
        <v>10</v>
      </c>
      <c r="CJ2" s="43"/>
      <c r="CK2" s="43"/>
      <c r="CL2" s="46"/>
      <c r="CM2" s="47" t="s">
        <v>14</v>
      </c>
      <c r="CN2" s="48"/>
      <c r="CO2" s="48"/>
      <c r="CP2" s="48"/>
      <c r="CQ2" s="44" t="s">
        <v>12</v>
      </c>
      <c r="CR2" s="49" t="s">
        <v>13</v>
      </c>
      <c r="CS2" s="49"/>
      <c r="CT2" s="50"/>
    </row>
    <row r="3" spans="1:98" ht="42.75" customHeight="1" thickBot="1">
      <c r="A3" s="29"/>
      <c r="B3" s="32"/>
      <c r="C3" s="4" t="s">
        <v>15</v>
      </c>
      <c r="D3" s="4" t="s">
        <v>16</v>
      </c>
      <c r="E3" s="4" t="s">
        <v>17</v>
      </c>
      <c r="F3" s="4" t="s">
        <v>18</v>
      </c>
      <c r="G3" s="4" t="s">
        <v>15</v>
      </c>
      <c r="H3" s="4" t="s">
        <v>16</v>
      </c>
      <c r="I3" s="4" t="s">
        <v>17</v>
      </c>
      <c r="J3" s="4" t="s">
        <v>18</v>
      </c>
      <c r="K3" s="4" t="s">
        <v>15</v>
      </c>
      <c r="L3" s="4" t="s">
        <v>16</v>
      </c>
      <c r="M3" s="4" t="s">
        <v>17</v>
      </c>
      <c r="N3" s="4" t="s">
        <v>18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15</v>
      </c>
      <c r="T3" s="4" t="s">
        <v>16</v>
      </c>
      <c r="U3" s="4" t="s">
        <v>17</v>
      </c>
      <c r="V3" s="4" t="s">
        <v>18</v>
      </c>
      <c r="W3" s="4" t="s">
        <v>15</v>
      </c>
      <c r="X3" s="4" t="s">
        <v>16</v>
      </c>
      <c r="Y3" s="4" t="s">
        <v>17</v>
      </c>
      <c r="Z3" s="4" t="s">
        <v>18</v>
      </c>
      <c r="AA3" s="4" t="s">
        <v>15</v>
      </c>
      <c r="AB3" s="4" t="s">
        <v>16</v>
      </c>
      <c r="AC3" s="4" t="s">
        <v>17</v>
      </c>
      <c r="AD3" s="4" t="s">
        <v>18</v>
      </c>
      <c r="AE3" s="4" t="s">
        <v>15</v>
      </c>
      <c r="AF3" s="4" t="s">
        <v>16</v>
      </c>
      <c r="AG3" s="4" t="s">
        <v>17</v>
      </c>
      <c r="AH3" s="4" t="s">
        <v>18</v>
      </c>
      <c r="AI3" s="4" t="s">
        <v>15</v>
      </c>
      <c r="AJ3" s="4" t="s">
        <v>16</v>
      </c>
      <c r="AK3" s="4" t="s">
        <v>17</v>
      </c>
      <c r="AL3" s="4" t="s">
        <v>18</v>
      </c>
      <c r="AM3" s="4" t="s">
        <v>15</v>
      </c>
      <c r="AN3" s="4" t="s">
        <v>16</v>
      </c>
      <c r="AO3" s="4" t="s">
        <v>17</v>
      </c>
      <c r="AP3" s="4" t="s">
        <v>19</v>
      </c>
      <c r="AQ3" s="4" t="s">
        <v>15</v>
      </c>
      <c r="AR3" s="4" t="s">
        <v>16</v>
      </c>
      <c r="AS3" s="4" t="s">
        <v>17</v>
      </c>
      <c r="AT3" s="4" t="s">
        <v>19</v>
      </c>
      <c r="AU3" s="4" t="s">
        <v>15</v>
      </c>
      <c r="AV3" s="4" t="s">
        <v>16</v>
      </c>
      <c r="AW3" s="4" t="s">
        <v>17</v>
      </c>
      <c r="AX3" s="4" t="s">
        <v>19</v>
      </c>
      <c r="AY3" s="5" t="s">
        <v>15</v>
      </c>
      <c r="AZ3" s="6" t="s">
        <v>16</v>
      </c>
      <c r="BA3" s="6" t="s">
        <v>17</v>
      </c>
      <c r="BB3" s="6" t="s">
        <v>19</v>
      </c>
      <c r="BC3" s="6" t="s">
        <v>15</v>
      </c>
      <c r="BD3" s="6" t="s">
        <v>16</v>
      </c>
      <c r="BE3" s="6" t="s">
        <v>17</v>
      </c>
      <c r="BF3" s="6" t="s">
        <v>19</v>
      </c>
      <c r="BG3" s="45"/>
      <c r="BH3" s="6" t="s">
        <v>20</v>
      </c>
      <c r="BI3" s="6" t="s">
        <v>21</v>
      </c>
      <c r="BJ3" s="7" t="s">
        <v>19</v>
      </c>
      <c r="BK3" s="3" t="s">
        <v>15</v>
      </c>
      <c r="BL3" s="4" t="s">
        <v>16</v>
      </c>
      <c r="BM3" s="4" t="s">
        <v>17</v>
      </c>
      <c r="BN3" s="4" t="s">
        <v>19</v>
      </c>
      <c r="BO3" s="4" t="s">
        <v>15</v>
      </c>
      <c r="BP3" s="4" t="s">
        <v>16</v>
      </c>
      <c r="BQ3" s="4" t="s">
        <v>17</v>
      </c>
      <c r="BR3" s="4" t="s">
        <v>19</v>
      </c>
      <c r="BS3" s="45"/>
      <c r="BT3" s="6" t="s">
        <v>20</v>
      </c>
      <c r="BU3" s="6" t="s">
        <v>21</v>
      </c>
      <c r="BV3" s="7" t="s">
        <v>19</v>
      </c>
      <c r="BW3" s="3" t="s">
        <v>15</v>
      </c>
      <c r="BX3" s="4" t="s">
        <v>16</v>
      </c>
      <c r="BY3" s="4" t="s">
        <v>17</v>
      </c>
      <c r="BZ3" s="4" t="s">
        <v>19</v>
      </c>
      <c r="CA3" s="4" t="s">
        <v>15</v>
      </c>
      <c r="CB3" s="4" t="s">
        <v>16</v>
      </c>
      <c r="CC3" s="4" t="s">
        <v>17</v>
      </c>
      <c r="CD3" s="4" t="s">
        <v>19</v>
      </c>
      <c r="CE3" s="45"/>
      <c r="CF3" s="6" t="s">
        <v>20</v>
      </c>
      <c r="CG3" s="6" t="s">
        <v>21</v>
      </c>
      <c r="CH3" s="7" t="s">
        <v>19</v>
      </c>
      <c r="CI3" s="5" t="s">
        <v>12</v>
      </c>
      <c r="CJ3" s="6" t="s">
        <v>20</v>
      </c>
      <c r="CK3" s="6" t="s">
        <v>21</v>
      </c>
      <c r="CL3" s="4" t="s">
        <v>19</v>
      </c>
      <c r="CM3" s="5" t="s">
        <v>12</v>
      </c>
      <c r="CN3" s="6" t="s">
        <v>20</v>
      </c>
      <c r="CO3" s="6" t="s">
        <v>21</v>
      </c>
      <c r="CP3" s="4" t="s">
        <v>19</v>
      </c>
      <c r="CQ3" s="45"/>
      <c r="CR3" s="6" t="s">
        <v>20</v>
      </c>
      <c r="CS3" s="6" t="s">
        <v>21</v>
      </c>
      <c r="CT3" s="7" t="s">
        <v>19</v>
      </c>
    </row>
    <row r="4" spans="1:98" ht="15" customHeight="1">
      <c r="A4" s="8">
        <v>1</v>
      </c>
      <c r="B4" s="9" t="s">
        <v>22</v>
      </c>
      <c r="C4" s="10">
        <v>672204</v>
      </c>
      <c r="D4" s="10">
        <f>F4-E4</f>
        <v>469726.1</v>
      </c>
      <c r="E4" s="10">
        <v>1906.4</v>
      </c>
      <c r="F4" s="11">
        <v>471632.5</v>
      </c>
      <c r="G4" s="11">
        <v>56443.6</v>
      </c>
      <c r="H4" s="11">
        <v>36684.98</v>
      </c>
      <c r="I4" s="11"/>
      <c r="J4" s="11">
        <f aca="true" t="shared" si="0" ref="J4:J22">SUM(H4:I4)</f>
        <v>36684.98</v>
      </c>
      <c r="K4" s="11">
        <f aca="true" t="shared" si="1" ref="K4:N22">C4+G4</f>
        <v>728647.6</v>
      </c>
      <c r="L4" s="10">
        <f>D4+H4</f>
        <v>506411.07999999996</v>
      </c>
      <c r="M4" s="10">
        <f>E4+I4</f>
        <v>1906.4</v>
      </c>
      <c r="N4" s="12">
        <f>F4+J4</f>
        <v>508317.48</v>
      </c>
      <c r="O4" s="12">
        <v>659622.5</v>
      </c>
      <c r="P4" s="13">
        <v>397668.1</v>
      </c>
      <c r="Q4" s="12"/>
      <c r="R4" s="13">
        <f aca="true" t="shared" si="2" ref="R4:R22">SUM(P4:Q4)</f>
        <v>397668.1</v>
      </c>
      <c r="S4" s="13">
        <v>68560.1</v>
      </c>
      <c r="T4" s="13">
        <v>52141.3</v>
      </c>
      <c r="U4" s="13"/>
      <c r="V4" s="13">
        <f aca="true" t="shared" si="3" ref="V4:V16">SUM(T4:U4)</f>
        <v>52141.3</v>
      </c>
      <c r="W4" s="13">
        <f aca="true" t="shared" si="4" ref="W4:Z22">O4+S4</f>
        <v>728182.6</v>
      </c>
      <c r="X4" s="12">
        <f>P4+T4</f>
        <v>449809.39999999997</v>
      </c>
      <c r="Y4" s="12">
        <f>Q4+U4</f>
        <v>0</v>
      </c>
      <c r="Z4" s="12">
        <f>R4+V4</f>
        <v>449809.39999999997</v>
      </c>
      <c r="AA4" s="12">
        <v>644166.5</v>
      </c>
      <c r="AB4" s="13">
        <f>401551.1+15476.5-14916.9</f>
        <v>402110.69999999995</v>
      </c>
      <c r="AC4" s="12">
        <v>14916.9</v>
      </c>
      <c r="AD4" s="13">
        <f aca="true" t="shared" si="5" ref="AD4:AD22">SUM(AB4:AC4)</f>
        <v>417027.6</v>
      </c>
      <c r="AE4" s="13">
        <v>87271</v>
      </c>
      <c r="AF4" s="13">
        <v>38585.7</v>
      </c>
      <c r="AG4" s="13"/>
      <c r="AH4" s="13">
        <f aca="true" t="shared" si="6" ref="AH4:AH22">SUM(AF4:AG4)</f>
        <v>38585.7</v>
      </c>
      <c r="AI4" s="13">
        <f aca="true" t="shared" si="7" ref="AI4:AL22">AA4+AE4</f>
        <v>731437.5</v>
      </c>
      <c r="AJ4" s="12">
        <f>AB4+AF4</f>
        <v>440696.39999999997</v>
      </c>
      <c r="AK4" s="12">
        <f>AC4+AG4</f>
        <v>14916.9</v>
      </c>
      <c r="AL4" s="12">
        <f>AD4+AH4</f>
        <v>455613.3</v>
      </c>
      <c r="AM4" s="12">
        <v>677209</v>
      </c>
      <c r="AN4" s="13">
        <v>440197.9</v>
      </c>
      <c r="AO4" s="12"/>
      <c r="AP4" s="13">
        <v>440197.9</v>
      </c>
      <c r="AQ4" s="13">
        <v>70583.4</v>
      </c>
      <c r="AR4" s="13">
        <v>21237.4</v>
      </c>
      <c r="AS4" s="13"/>
      <c r="AT4" s="13">
        <f aca="true" t="shared" si="8" ref="AT4:AT22">SUM(AR4:AS4)</f>
        <v>21237.4</v>
      </c>
      <c r="AU4" s="13">
        <f aca="true" t="shared" si="9" ref="AU4:AX22">AM4+AQ4</f>
        <v>747792.4</v>
      </c>
      <c r="AV4" s="12">
        <f>AN4+AR4</f>
        <v>461435.30000000005</v>
      </c>
      <c r="AW4" s="12">
        <f>AO4+AS4</f>
        <v>0</v>
      </c>
      <c r="AX4" s="12">
        <f>AP4+AT4</f>
        <v>461435.30000000005</v>
      </c>
      <c r="AY4" s="14">
        <v>602326.5</v>
      </c>
      <c r="AZ4" s="13">
        <v>291580.2</v>
      </c>
      <c r="BA4" s="13"/>
      <c r="BB4" s="13">
        <f>126451.6+128241.8+36886.8</f>
        <v>291580.2</v>
      </c>
      <c r="BC4" s="13">
        <v>75754.4</v>
      </c>
      <c r="BD4" s="13">
        <v>5390.4</v>
      </c>
      <c r="BE4" s="13"/>
      <c r="BF4" s="13">
        <v>5390.4</v>
      </c>
      <c r="BG4" s="13">
        <f aca="true" t="shared" si="10" ref="BG4:BJ22">AY4+BC4</f>
        <v>678080.9</v>
      </c>
      <c r="BH4" s="13">
        <f>AZ4+BD4</f>
        <v>296970.60000000003</v>
      </c>
      <c r="BI4" s="13">
        <f>BA4+BE4</f>
        <v>0</v>
      </c>
      <c r="BJ4" s="15">
        <f>BB4+BF4</f>
        <v>296970.60000000003</v>
      </c>
      <c r="BK4" s="16">
        <v>392685</v>
      </c>
      <c r="BL4" s="13">
        <f>273110-1958.7</f>
        <v>271151.3</v>
      </c>
      <c r="BM4" s="12">
        <v>1958.7</v>
      </c>
      <c r="BN4" s="13">
        <f>SUM(BL4:BM4)</f>
        <v>273110</v>
      </c>
      <c r="BO4" s="13">
        <v>73864</v>
      </c>
      <c r="BP4" s="13">
        <v>15707</v>
      </c>
      <c r="BQ4" s="13"/>
      <c r="BR4" s="13">
        <f>SUM(BP4:BQ4)</f>
        <v>15707</v>
      </c>
      <c r="BS4" s="13">
        <f aca="true" t="shared" si="11" ref="BS4:BV22">BK4+BO4</f>
        <v>466549</v>
      </c>
      <c r="BT4" s="13">
        <f>BL4+BP4</f>
        <v>286858.3</v>
      </c>
      <c r="BU4" s="13">
        <f>BM4+BQ4</f>
        <v>1958.7</v>
      </c>
      <c r="BV4" s="17">
        <f>BN4+BR4</f>
        <v>288817</v>
      </c>
      <c r="BW4" s="16">
        <v>475669.5</v>
      </c>
      <c r="BX4" s="13">
        <f>308900.8-35517.3</f>
        <v>273383.5</v>
      </c>
      <c r="BY4" s="12">
        <v>35517.3</v>
      </c>
      <c r="BZ4" s="13">
        <f>SUM(BX4:BY4)</f>
        <v>308900.8</v>
      </c>
      <c r="CA4" s="13">
        <v>59399</v>
      </c>
      <c r="CB4" s="13">
        <v>13384.6</v>
      </c>
      <c r="CC4" s="13"/>
      <c r="CD4" s="13">
        <f>SUM(CB4:CC4)</f>
        <v>13384.6</v>
      </c>
      <c r="CE4" s="13">
        <f aca="true" t="shared" si="12" ref="CE4:CH22">BW4+CA4</f>
        <v>535068.5</v>
      </c>
      <c r="CF4" s="13">
        <f>BX4+CB4</f>
        <v>286768.1</v>
      </c>
      <c r="CG4" s="13">
        <f>BY4+CC4</f>
        <v>35517.3</v>
      </c>
      <c r="CH4" s="17">
        <f>BZ4+CD4</f>
        <v>322285.39999999997</v>
      </c>
      <c r="CI4" s="16">
        <v>515968</v>
      </c>
      <c r="CJ4" s="13">
        <f>325506.9+20465.7+1388.5+8196.1-CK4</f>
        <v>349078.9</v>
      </c>
      <c r="CK4" s="12">
        <v>6478.3</v>
      </c>
      <c r="CL4" s="13">
        <f>SUM(CJ4:CK4)</f>
        <v>355557.2</v>
      </c>
      <c r="CM4" s="13">
        <v>59652</v>
      </c>
      <c r="CN4" s="13">
        <v>7599</v>
      </c>
      <c r="CO4" s="13"/>
      <c r="CP4" s="13">
        <f>SUM(CN4:CO4)</f>
        <v>7599</v>
      </c>
      <c r="CQ4" s="13">
        <f>CI4+CM4</f>
        <v>575620</v>
      </c>
      <c r="CR4" s="13">
        <f>CJ4+CN4</f>
        <v>356677.9</v>
      </c>
      <c r="CS4" s="13">
        <f>CK4+CO4</f>
        <v>6478.3</v>
      </c>
      <c r="CT4" s="17">
        <f>SUM(CR4:CS4)</f>
        <v>363156.2</v>
      </c>
    </row>
    <row r="5" spans="1:98" ht="15" customHeight="1">
      <c r="A5" s="8"/>
      <c r="B5" s="9"/>
      <c r="C5" s="10"/>
      <c r="D5" s="10"/>
      <c r="E5" s="10"/>
      <c r="F5" s="11"/>
      <c r="G5" s="11"/>
      <c r="H5" s="11"/>
      <c r="I5" s="11"/>
      <c r="J5" s="11"/>
      <c r="K5" s="11"/>
      <c r="L5" s="10"/>
      <c r="M5" s="10"/>
      <c r="N5" s="12"/>
      <c r="O5" s="12"/>
      <c r="P5" s="13"/>
      <c r="Q5" s="12"/>
      <c r="R5" s="13"/>
      <c r="S5" s="13"/>
      <c r="T5" s="13"/>
      <c r="U5" s="13"/>
      <c r="V5" s="13"/>
      <c r="W5" s="13"/>
      <c r="X5" s="12"/>
      <c r="Y5" s="12"/>
      <c r="Z5" s="12"/>
      <c r="AA5" s="12"/>
      <c r="AB5" s="13"/>
      <c r="AC5" s="12"/>
      <c r="AD5" s="13"/>
      <c r="AE5" s="13"/>
      <c r="AF5" s="13"/>
      <c r="AG5" s="13"/>
      <c r="AH5" s="13"/>
      <c r="AI5" s="13"/>
      <c r="AJ5" s="12"/>
      <c r="AK5" s="12"/>
      <c r="AL5" s="12"/>
      <c r="AM5" s="12"/>
      <c r="AN5" s="13"/>
      <c r="AO5" s="12"/>
      <c r="AP5" s="13"/>
      <c r="AQ5" s="13"/>
      <c r="AR5" s="13"/>
      <c r="AS5" s="13"/>
      <c r="AT5" s="13"/>
      <c r="AU5" s="13"/>
      <c r="AV5" s="12"/>
      <c r="AW5" s="12"/>
      <c r="AX5" s="12"/>
      <c r="AY5" s="14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5"/>
      <c r="BK5" s="16"/>
      <c r="BL5" s="13"/>
      <c r="BM5" s="12"/>
      <c r="BN5" s="13"/>
      <c r="BO5" s="13"/>
      <c r="BP5" s="13"/>
      <c r="BQ5" s="13"/>
      <c r="BR5" s="13"/>
      <c r="BS5" s="13"/>
      <c r="BT5" s="13"/>
      <c r="BU5" s="13"/>
      <c r="BV5" s="17"/>
      <c r="BW5" s="16"/>
      <c r="BX5" s="13"/>
      <c r="BY5" s="12"/>
      <c r="BZ5" s="13"/>
      <c r="CA5" s="13"/>
      <c r="CB5" s="13"/>
      <c r="CC5" s="13"/>
      <c r="CD5" s="13"/>
      <c r="CE5" s="13"/>
      <c r="CF5" s="13"/>
      <c r="CG5" s="13"/>
      <c r="CH5" s="17"/>
      <c r="CI5" s="16"/>
      <c r="CJ5" s="13"/>
      <c r="CK5" s="12"/>
      <c r="CL5" s="13"/>
      <c r="CM5" s="13"/>
      <c r="CN5" s="13"/>
      <c r="CO5" s="13"/>
      <c r="CP5" s="13"/>
      <c r="CQ5" s="13"/>
      <c r="CR5" s="13"/>
      <c r="CS5" s="13"/>
      <c r="CT5" s="17"/>
    </row>
    <row r="6" spans="1:98" ht="15" customHeight="1">
      <c r="A6" s="8">
        <v>2</v>
      </c>
      <c r="B6" s="9" t="s">
        <v>23</v>
      </c>
      <c r="C6" s="10">
        <v>0</v>
      </c>
      <c r="D6" s="10">
        <v>0</v>
      </c>
      <c r="E6" s="10">
        <v>0</v>
      </c>
      <c r="F6" s="11">
        <v>0</v>
      </c>
      <c r="G6" s="11">
        <v>27.7</v>
      </c>
      <c r="H6" s="11"/>
      <c r="I6" s="11"/>
      <c r="J6" s="11">
        <f t="shared" si="0"/>
        <v>0</v>
      </c>
      <c r="K6" s="11">
        <f t="shared" si="1"/>
        <v>27.7</v>
      </c>
      <c r="L6" s="10">
        <f t="shared" si="1"/>
        <v>0</v>
      </c>
      <c r="M6" s="10">
        <f t="shared" si="1"/>
        <v>0</v>
      </c>
      <c r="N6" s="12">
        <f t="shared" si="1"/>
        <v>0</v>
      </c>
      <c r="O6" s="12"/>
      <c r="P6" s="13"/>
      <c r="Q6" s="12"/>
      <c r="R6" s="13">
        <f t="shared" si="2"/>
        <v>0</v>
      </c>
      <c r="S6" s="13"/>
      <c r="T6" s="13"/>
      <c r="U6" s="13"/>
      <c r="V6" s="13">
        <f t="shared" si="3"/>
        <v>0</v>
      </c>
      <c r="W6" s="13">
        <f t="shared" si="4"/>
        <v>0</v>
      </c>
      <c r="X6" s="12">
        <f t="shared" si="4"/>
        <v>0</v>
      </c>
      <c r="Y6" s="12">
        <f t="shared" si="4"/>
        <v>0</v>
      </c>
      <c r="Z6" s="12">
        <f t="shared" si="4"/>
        <v>0</v>
      </c>
      <c r="AA6" s="12">
        <v>773.2</v>
      </c>
      <c r="AB6" s="13"/>
      <c r="AC6" s="12"/>
      <c r="AD6" s="13">
        <f t="shared" si="5"/>
        <v>0</v>
      </c>
      <c r="AE6" s="13"/>
      <c r="AF6" s="13"/>
      <c r="AG6" s="13"/>
      <c r="AH6" s="13">
        <f t="shared" si="6"/>
        <v>0</v>
      </c>
      <c r="AI6" s="13">
        <f t="shared" si="7"/>
        <v>773.2</v>
      </c>
      <c r="AJ6" s="12">
        <f t="shared" si="7"/>
        <v>0</v>
      </c>
      <c r="AK6" s="12">
        <f t="shared" si="7"/>
        <v>0</v>
      </c>
      <c r="AL6" s="12">
        <f t="shared" si="7"/>
        <v>0</v>
      </c>
      <c r="AM6" s="12">
        <v>619.8</v>
      </c>
      <c r="AN6" s="13"/>
      <c r="AO6" s="12">
        <v>495</v>
      </c>
      <c r="AP6" s="13">
        <f aca="true" t="shared" si="13" ref="AP6:AP22">SUM(AN6:AO6)</f>
        <v>495</v>
      </c>
      <c r="AQ6" s="13">
        <v>741.6</v>
      </c>
      <c r="AR6" s="13"/>
      <c r="AS6" s="13">
        <v>732.6</v>
      </c>
      <c r="AT6" s="13">
        <f t="shared" si="8"/>
        <v>732.6</v>
      </c>
      <c r="AU6" s="13">
        <f t="shared" si="9"/>
        <v>1361.4</v>
      </c>
      <c r="AV6" s="12">
        <f t="shared" si="9"/>
        <v>0</v>
      </c>
      <c r="AW6" s="12">
        <f t="shared" si="9"/>
        <v>1227.6</v>
      </c>
      <c r="AX6" s="12">
        <f t="shared" si="9"/>
        <v>1227.6</v>
      </c>
      <c r="AY6" s="14">
        <v>809.2</v>
      </c>
      <c r="AZ6" s="13"/>
      <c r="BA6" s="13">
        <v>180</v>
      </c>
      <c r="BB6" s="13">
        <v>180</v>
      </c>
      <c r="BC6" s="13"/>
      <c r="BD6" s="13"/>
      <c r="BE6" s="13"/>
      <c r="BF6" s="13"/>
      <c r="BG6" s="13">
        <f t="shared" si="10"/>
        <v>809.2</v>
      </c>
      <c r="BH6" s="13">
        <f t="shared" si="10"/>
        <v>0</v>
      </c>
      <c r="BI6" s="13">
        <f t="shared" si="10"/>
        <v>180</v>
      </c>
      <c r="BJ6" s="15">
        <f t="shared" si="10"/>
        <v>180</v>
      </c>
      <c r="BK6" s="16">
        <v>1069.2</v>
      </c>
      <c r="BL6" s="13"/>
      <c r="BM6" s="12">
        <v>318.22</v>
      </c>
      <c r="BN6" s="13">
        <f aca="true" t="shared" si="14" ref="BN6:BN22">SUM(BL6:BM6)</f>
        <v>318.22</v>
      </c>
      <c r="BO6" s="13">
        <v>110.5</v>
      </c>
      <c r="BP6" s="13"/>
      <c r="BQ6" s="13">
        <v>92.7</v>
      </c>
      <c r="BR6" s="13">
        <f>SUM(BP6:BQ6)</f>
        <v>92.7</v>
      </c>
      <c r="BS6" s="13">
        <f t="shared" si="11"/>
        <v>1179.7</v>
      </c>
      <c r="BT6" s="13">
        <f t="shared" si="11"/>
        <v>0</v>
      </c>
      <c r="BU6" s="13">
        <f t="shared" si="11"/>
        <v>410.92</v>
      </c>
      <c r="BV6" s="17">
        <f t="shared" si="11"/>
        <v>410.92</v>
      </c>
      <c r="BW6" s="16">
        <v>910.3</v>
      </c>
      <c r="BX6" s="13"/>
      <c r="BY6" s="12">
        <v>471.65</v>
      </c>
      <c r="BZ6" s="13">
        <f aca="true" t="shared" si="15" ref="BZ6:BZ22">SUM(BX6:BY6)</f>
        <v>471.65</v>
      </c>
      <c r="CA6" s="13">
        <v>114.2</v>
      </c>
      <c r="CB6" s="13"/>
      <c r="CC6" s="13"/>
      <c r="CD6" s="13">
        <f aca="true" t="shared" si="16" ref="CD6:CD22">SUM(CB6:CC6)</f>
        <v>0</v>
      </c>
      <c r="CE6" s="13">
        <f t="shared" si="12"/>
        <v>1024.5</v>
      </c>
      <c r="CF6" s="13">
        <f t="shared" si="12"/>
        <v>0</v>
      </c>
      <c r="CG6" s="13">
        <f t="shared" si="12"/>
        <v>471.65</v>
      </c>
      <c r="CH6" s="17">
        <f t="shared" si="12"/>
        <v>471.65</v>
      </c>
      <c r="CI6" s="16">
        <v>1222</v>
      </c>
      <c r="CJ6" s="13"/>
      <c r="CK6" s="12">
        <v>532.28</v>
      </c>
      <c r="CL6" s="13">
        <f aca="true" t="shared" si="17" ref="CL6:CL23">SUM(CJ6:CK6)</f>
        <v>532.28</v>
      </c>
      <c r="CM6" s="13"/>
      <c r="CN6" s="13"/>
      <c r="CO6" s="13">
        <v>8.84</v>
      </c>
      <c r="CP6" s="13">
        <f aca="true" t="shared" si="18" ref="CP6:CP23">SUM(CN6:CO6)</f>
        <v>8.84</v>
      </c>
      <c r="CQ6" s="13">
        <f aca="true" t="shared" si="19" ref="CQ6:CS21">CI6+CM6</f>
        <v>1222</v>
      </c>
      <c r="CR6" s="13">
        <f t="shared" si="19"/>
        <v>0</v>
      </c>
      <c r="CS6" s="13">
        <f t="shared" si="19"/>
        <v>541.12</v>
      </c>
      <c r="CT6" s="17">
        <f aca="true" t="shared" si="20" ref="CT6:CT23">SUM(CR6:CS6)</f>
        <v>541.12</v>
      </c>
    </row>
    <row r="7" spans="1:98" ht="15" customHeight="1">
      <c r="A7" s="8">
        <v>3</v>
      </c>
      <c r="B7" s="9" t="s">
        <v>24</v>
      </c>
      <c r="C7" s="10">
        <v>35.5</v>
      </c>
      <c r="D7" s="10">
        <v>0.4</v>
      </c>
      <c r="E7" s="10">
        <f aca="true" t="shared" si="21" ref="E7:E22">F7-D7</f>
        <v>0</v>
      </c>
      <c r="F7" s="11">
        <v>0.4</v>
      </c>
      <c r="G7" s="11">
        <v>1</v>
      </c>
      <c r="H7" s="11">
        <v>8.3</v>
      </c>
      <c r="I7" s="11"/>
      <c r="J7" s="11">
        <f t="shared" si="0"/>
        <v>8.3</v>
      </c>
      <c r="K7" s="11">
        <f t="shared" si="1"/>
        <v>36.5</v>
      </c>
      <c r="L7" s="10">
        <f t="shared" si="1"/>
        <v>8.700000000000001</v>
      </c>
      <c r="M7" s="10">
        <f t="shared" si="1"/>
        <v>0</v>
      </c>
      <c r="N7" s="12">
        <f t="shared" si="1"/>
        <v>8.700000000000001</v>
      </c>
      <c r="O7" s="12">
        <v>211.08</v>
      </c>
      <c r="P7" s="13">
        <v>22.4</v>
      </c>
      <c r="Q7" s="12"/>
      <c r="R7" s="13">
        <f t="shared" si="2"/>
        <v>22.4</v>
      </c>
      <c r="S7" s="13">
        <v>2.5</v>
      </c>
      <c r="T7" s="13">
        <v>0.8</v>
      </c>
      <c r="U7" s="13"/>
      <c r="V7" s="13">
        <f t="shared" si="3"/>
        <v>0.8</v>
      </c>
      <c r="W7" s="13">
        <f t="shared" si="4"/>
        <v>213.58</v>
      </c>
      <c r="X7" s="12">
        <f t="shared" si="4"/>
        <v>23.2</v>
      </c>
      <c r="Y7" s="12">
        <f t="shared" si="4"/>
        <v>0</v>
      </c>
      <c r="Z7" s="12">
        <f t="shared" si="4"/>
        <v>23.2</v>
      </c>
      <c r="AA7" s="12">
        <v>349.57</v>
      </c>
      <c r="AB7" s="13">
        <f>61.74+7.6</f>
        <v>69.34</v>
      </c>
      <c r="AC7" s="12"/>
      <c r="AD7" s="13">
        <f t="shared" si="5"/>
        <v>69.34</v>
      </c>
      <c r="AE7" s="13">
        <v>2</v>
      </c>
      <c r="AF7" s="13">
        <v>0.4</v>
      </c>
      <c r="AG7" s="13"/>
      <c r="AH7" s="13">
        <f t="shared" si="6"/>
        <v>0.4</v>
      </c>
      <c r="AI7" s="13">
        <f t="shared" si="7"/>
        <v>351.57</v>
      </c>
      <c r="AJ7" s="12">
        <f t="shared" si="7"/>
        <v>69.74000000000001</v>
      </c>
      <c r="AK7" s="12">
        <f t="shared" si="7"/>
        <v>0</v>
      </c>
      <c r="AL7" s="12">
        <f t="shared" si="7"/>
        <v>69.74000000000001</v>
      </c>
      <c r="AM7" s="12">
        <v>238.2</v>
      </c>
      <c r="AN7" s="13">
        <v>28</v>
      </c>
      <c r="AO7" s="12"/>
      <c r="AP7" s="13">
        <f t="shared" si="13"/>
        <v>28</v>
      </c>
      <c r="AQ7" s="13">
        <v>11.5</v>
      </c>
      <c r="AR7" s="13">
        <v>3.72</v>
      </c>
      <c r="AS7" s="13"/>
      <c r="AT7" s="13">
        <f t="shared" si="8"/>
        <v>3.72</v>
      </c>
      <c r="AU7" s="13">
        <f t="shared" si="9"/>
        <v>249.7</v>
      </c>
      <c r="AV7" s="12">
        <f t="shared" si="9"/>
        <v>31.72</v>
      </c>
      <c r="AW7" s="12">
        <f t="shared" si="9"/>
        <v>0</v>
      </c>
      <c r="AX7" s="12">
        <f t="shared" si="9"/>
        <v>31.72</v>
      </c>
      <c r="AY7" s="14">
        <v>256.6</v>
      </c>
      <c r="AZ7" s="13">
        <v>33.12</v>
      </c>
      <c r="BA7" s="13"/>
      <c r="BB7" s="13">
        <v>33.12</v>
      </c>
      <c r="BC7" s="13"/>
      <c r="BD7" s="13">
        <v>31.6</v>
      </c>
      <c r="BE7" s="13"/>
      <c r="BF7" s="13">
        <v>31.6</v>
      </c>
      <c r="BG7" s="13">
        <f t="shared" si="10"/>
        <v>256.6</v>
      </c>
      <c r="BH7" s="13">
        <f t="shared" si="10"/>
        <v>64.72</v>
      </c>
      <c r="BI7" s="13">
        <f t="shared" si="10"/>
        <v>0</v>
      </c>
      <c r="BJ7" s="15">
        <f t="shared" si="10"/>
        <v>64.72</v>
      </c>
      <c r="BK7" s="16">
        <v>247.2</v>
      </c>
      <c r="BL7" s="13">
        <v>333.66</v>
      </c>
      <c r="BM7" s="12"/>
      <c r="BN7" s="13">
        <f t="shared" si="14"/>
        <v>333.66</v>
      </c>
      <c r="BO7" s="13">
        <v>13</v>
      </c>
      <c r="BP7" s="13"/>
      <c r="BQ7" s="13"/>
      <c r="BR7" s="13"/>
      <c r="BS7" s="13">
        <f t="shared" si="11"/>
        <v>260.2</v>
      </c>
      <c r="BT7" s="13">
        <f t="shared" si="11"/>
        <v>333.66</v>
      </c>
      <c r="BU7" s="13">
        <f t="shared" si="11"/>
        <v>0</v>
      </c>
      <c r="BV7" s="17">
        <f t="shared" si="11"/>
        <v>333.66</v>
      </c>
      <c r="BW7" s="16">
        <v>346.8</v>
      </c>
      <c r="BX7" s="13">
        <v>15.2</v>
      </c>
      <c r="BY7" s="12">
        <v>177.6</v>
      </c>
      <c r="BZ7" s="13">
        <f t="shared" si="15"/>
        <v>192.79999999999998</v>
      </c>
      <c r="CA7" s="13"/>
      <c r="CB7" s="13"/>
      <c r="CC7" s="13">
        <v>7</v>
      </c>
      <c r="CD7" s="13">
        <f t="shared" si="16"/>
        <v>7</v>
      </c>
      <c r="CE7" s="13">
        <f t="shared" si="12"/>
        <v>346.8</v>
      </c>
      <c r="CF7" s="13">
        <f t="shared" si="12"/>
        <v>15.2</v>
      </c>
      <c r="CG7" s="13">
        <f t="shared" si="12"/>
        <v>184.6</v>
      </c>
      <c r="CH7" s="17">
        <f t="shared" si="12"/>
        <v>199.79999999999998</v>
      </c>
      <c r="CI7" s="16">
        <v>300</v>
      </c>
      <c r="CJ7" s="16">
        <f>285.68+47-270.72</f>
        <v>61.95999999999998</v>
      </c>
      <c r="CK7" s="12">
        <v>270.72</v>
      </c>
      <c r="CL7" s="13">
        <f t="shared" si="17"/>
        <v>332.68</v>
      </c>
      <c r="CM7" s="13"/>
      <c r="CN7" s="13"/>
      <c r="CO7" s="13"/>
      <c r="CP7" s="13">
        <f t="shared" si="18"/>
        <v>0</v>
      </c>
      <c r="CQ7" s="13">
        <f t="shared" si="19"/>
        <v>300</v>
      </c>
      <c r="CR7" s="13">
        <f t="shared" si="19"/>
        <v>61.95999999999998</v>
      </c>
      <c r="CS7" s="13">
        <f t="shared" si="19"/>
        <v>270.72</v>
      </c>
      <c r="CT7" s="17">
        <f t="shared" si="20"/>
        <v>332.68</v>
      </c>
    </row>
    <row r="8" spans="1:98" ht="15" customHeight="1" hidden="1">
      <c r="A8" s="8">
        <v>4</v>
      </c>
      <c r="B8" s="9" t="s">
        <v>25</v>
      </c>
      <c r="C8" s="10">
        <v>0</v>
      </c>
      <c r="D8" s="10">
        <v>0</v>
      </c>
      <c r="E8" s="10">
        <f t="shared" si="21"/>
        <v>0</v>
      </c>
      <c r="F8" s="11">
        <v>0</v>
      </c>
      <c r="G8" s="11">
        <v>7087</v>
      </c>
      <c r="H8" s="11"/>
      <c r="I8" s="11">
        <v>2199.4</v>
      </c>
      <c r="J8" s="11">
        <f t="shared" si="0"/>
        <v>2199.4</v>
      </c>
      <c r="K8" s="11">
        <f t="shared" si="1"/>
        <v>7087</v>
      </c>
      <c r="L8" s="10">
        <f t="shared" si="1"/>
        <v>0</v>
      </c>
      <c r="M8" s="10">
        <f t="shared" si="1"/>
        <v>2199.4</v>
      </c>
      <c r="N8" s="12">
        <f t="shared" si="1"/>
        <v>2199.4</v>
      </c>
      <c r="O8" s="12"/>
      <c r="P8" s="13"/>
      <c r="Q8" s="12"/>
      <c r="R8" s="13">
        <f t="shared" si="2"/>
        <v>0</v>
      </c>
      <c r="S8" s="13">
        <v>10000</v>
      </c>
      <c r="T8" s="13"/>
      <c r="U8" s="13">
        <v>2088.33</v>
      </c>
      <c r="V8" s="13">
        <f t="shared" si="3"/>
        <v>2088.33</v>
      </c>
      <c r="W8" s="13">
        <f t="shared" si="4"/>
        <v>10000</v>
      </c>
      <c r="X8" s="12">
        <f t="shared" si="4"/>
        <v>0</v>
      </c>
      <c r="Y8" s="12">
        <f t="shared" si="4"/>
        <v>2088.33</v>
      </c>
      <c r="Z8" s="12">
        <f t="shared" si="4"/>
        <v>2088.33</v>
      </c>
      <c r="AA8" s="12"/>
      <c r="AB8" s="13"/>
      <c r="AC8" s="12"/>
      <c r="AD8" s="13">
        <f t="shared" si="5"/>
        <v>0</v>
      </c>
      <c r="AE8" s="13">
        <v>4072</v>
      </c>
      <c r="AF8" s="13"/>
      <c r="AG8" s="13">
        <v>879.98</v>
      </c>
      <c r="AH8" s="13">
        <f t="shared" si="6"/>
        <v>879.98</v>
      </c>
      <c r="AI8" s="13">
        <f t="shared" si="7"/>
        <v>4072</v>
      </c>
      <c r="AJ8" s="12">
        <f t="shared" si="7"/>
        <v>0</v>
      </c>
      <c r="AK8" s="12">
        <f t="shared" si="7"/>
        <v>879.98</v>
      </c>
      <c r="AL8" s="12">
        <f t="shared" si="7"/>
        <v>879.98</v>
      </c>
      <c r="AM8" s="12"/>
      <c r="AN8" s="13"/>
      <c r="AO8" s="12"/>
      <c r="AP8" s="13">
        <f t="shared" si="13"/>
        <v>0</v>
      </c>
      <c r="AQ8" s="13">
        <v>3384.42</v>
      </c>
      <c r="AR8" s="13"/>
      <c r="AS8" s="13"/>
      <c r="AT8" s="13">
        <f t="shared" si="8"/>
        <v>0</v>
      </c>
      <c r="AU8" s="13">
        <f t="shared" si="9"/>
        <v>3384.42</v>
      </c>
      <c r="AV8" s="12">
        <f t="shared" si="9"/>
        <v>0</v>
      </c>
      <c r="AW8" s="12">
        <f t="shared" si="9"/>
        <v>0</v>
      </c>
      <c r="AX8" s="12">
        <f t="shared" si="9"/>
        <v>0</v>
      </c>
      <c r="AY8" s="14"/>
      <c r="AZ8" s="13"/>
      <c r="BA8" s="13"/>
      <c r="BB8" s="13"/>
      <c r="BC8" s="13">
        <v>511.4</v>
      </c>
      <c r="BD8" s="13"/>
      <c r="BE8" s="13"/>
      <c r="BF8" s="13"/>
      <c r="BG8" s="13">
        <f t="shared" si="10"/>
        <v>511.4</v>
      </c>
      <c r="BH8" s="13">
        <f t="shared" si="10"/>
        <v>0</v>
      </c>
      <c r="BI8" s="13">
        <f t="shared" si="10"/>
        <v>0</v>
      </c>
      <c r="BJ8" s="15">
        <f t="shared" si="10"/>
        <v>0</v>
      </c>
      <c r="BK8" s="16"/>
      <c r="BL8" s="13"/>
      <c r="BM8" s="12"/>
      <c r="BN8" s="13">
        <f t="shared" si="14"/>
        <v>0</v>
      </c>
      <c r="BO8" s="13">
        <v>3341.6</v>
      </c>
      <c r="BP8" s="13"/>
      <c r="BQ8" s="13"/>
      <c r="BR8" s="13"/>
      <c r="BS8" s="13">
        <f t="shared" si="11"/>
        <v>3341.6</v>
      </c>
      <c r="BT8" s="13">
        <f t="shared" si="11"/>
        <v>0</v>
      </c>
      <c r="BU8" s="13">
        <f t="shared" si="11"/>
        <v>0</v>
      </c>
      <c r="BV8" s="17">
        <f t="shared" si="11"/>
        <v>0</v>
      </c>
      <c r="BW8" s="16"/>
      <c r="BX8" s="13">
        <v>0</v>
      </c>
      <c r="BY8" s="12"/>
      <c r="BZ8" s="13">
        <f t="shared" si="15"/>
        <v>0</v>
      </c>
      <c r="CA8" s="13">
        <v>1820.1</v>
      </c>
      <c r="CB8" s="13"/>
      <c r="CC8" s="13"/>
      <c r="CD8" s="13">
        <f t="shared" si="16"/>
        <v>0</v>
      </c>
      <c r="CE8" s="13">
        <f t="shared" si="12"/>
        <v>1820.1</v>
      </c>
      <c r="CF8" s="13">
        <f t="shared" si="12"/>
        <v>0</v>
      </c>
      <c r="CG8" s="13">
        <f t="shared" si="12"/>
        <v>0</v>
      </c>
      <c r="CH8" s="17">
        <f t="shared" si="12"/>
        <v>0</v>
      </c>
      <c r="CI8" s="16"/>
      <c r="CJ8" s="13"/>
      <c r="CK8" s="12"/>
      <c r="CL8" s="13">
        <f t="shared" si="17"/>
        <v>0</v>
      </c>
      <c r="CM8" s="13"/>
      <c r="CN8" s="13"/>
      <c r="CO8" s="13"/>
      <c r="CP8" s="13">
        <f t="shared" si="18"/>
        <v>0</v>
      </c>
      <c r="CQ8" s="13">
        <f t="shared" si="19"/>
        <v>0</v>
      </c>
      <c r="CR8" s="13">
        <f t="shared" si="19"/>
        <v>0</v>
      </c>
      <c r="CS8" s="13">
        <f t="shared" si="19"/>
        <v>0</v>
      </c>
      <c r="CT8" s="17">
        <f t="shared" si="20"/>
        <v>0</v>
      </c>
    </row>
    <row r="9" spans="1:98" ht="15" customHeight="1">
      <c r="A9" s="8">
        <v>4</v>
      </c>
      <c r="B9" s="9" t="s">
        <v>26</v>
      </c>
      <c r="C9" s="10">
        <v>2268.5</v>
      </c>
      <c r="D9" s="10">
        <v>550.44</v>
      </c>
      <c r="E9" s="10">
        <f t="shared" si="21"/>
        <v>0</v>
      </c>
      <c r="F9" s="11">
        <v>550.44</v>
      </c>
      <c r="G9" s="11">
        <v>5170.3</v>
      </c>
      <c r="H9" s="11">
        <v>3597.3</v>
      </c>
      <c r="I9" s="11"/>
      <c r="J9" s="11">
        <f t="shared" si="0"/>
        <v>3597.3</v>
      </c>
      <c r="K9" s="11">
        <f t="shared" si="1"/>
        <v>7438.8</v>
      </c>
      <c r="L9" s="10">
        <f t="shared" si="1"/>
        <v>4147.74</v>
      </c>
      <c r="M9" s="10">
        <f t="shared" si="1"/>
        <v>0</v>
      </c>
      <c r="N9" s="12">
        <f t="shared" si="1"/>
        <v>4147.74</v>
      </c>
      <c r="O9" s="12">
        <v>2032.5</v>
      </c>
      <c r="P9" s="13">
        <v>269.38</v>
      </c>
      <c r="Q9" s="12"/>
      <c r="R9" s="13">
        <f t="shared" si="2"/>
        <v>269.38</v>
      </c>
      <c r="S9" s="13">
        <v>10000</v>
      </c>
      <c r="T9" s="13">
        <v>3725.07</v>
      </c>
      <c r="U9" s="13"/>
      <c r="V9" s="13">
        <f t="shared" si="3"/>
        <v>3725.07</v>
      </c>
      <c r="W9" s="13">
        <f t="shared" si="4"/>
        <v>12032.5</v>
      </c>
      <c r="X9" s="12">
        <f t="shared" si="4"/>
        <v>3994.4500000000003</v>
      </c>
      <c r="Y9" s="12">
        <f t="shared" si="4"/>
        <v>0</v>
      </c>
      <c r="Z9" s="12">
        <f t="shared" si="4"/>
        <v>3994.4500000000003</v>
      </c>
      <c r="AA9" s="12">
        <v>1810.25</v>
      </c>
      <c r="AB9" s="13">
        <v>797.92</v>
      </c>
      <c r="AC9" s="12"/>
      <c r="AD9" s="13">
        <f t="shared" si="5"/>
        <v>797.92</v>
      </c>
      <c r="AE9" s="13">
        <v>6223</v>
      </c>
      <c r="AF9" s="13">
        <v>300.36</v>
      </c>
      <c r="AG9" s="13">
        <f>1533.62-300.36</f>
        <v>1233.2599999999998</v>
      </c>
      <c r="AH9" s="13">
        <f t="shared" si="6"/>
        <v>1533.62</v>
      </c>
      <c r="AI9" s="13">
        <f t="shared" si="7"/>
        <v>8033.25</v>
      </c>
      <c r="AJ9" s="12">
        <f t="shared" si="7"/>
        <v>1098.28</v>
      </c>
      <c r="AK9" s="12">
        <f t="shared" si="7"/>
        <v>1233.2599999999998</v>
      </c>
      <c r="AL9" s="12">
        <f t="shared" si="7"/>
        <v>2331.54</v>
      </c>
      <c r="AM9" s="12">
        <v>2273.5</v>
      </c>
      <c r="AN9" s="13">
        <v>583.8</v>
      </c>
      <c r="AO9" s="12"/>
      <c r="AP9" s="13">
        <f t="shared" si="13"/>
        <v>583.8</v>
      </c>
      <c r="AQ9" s="13">
        <v>6329</v>
      </c>
      <c r="AR9" s="13">
        <v>3335.78</v>
      </c>
      <c r="AS9" s="13"/>
      <c r="AT9" s="13">
        <f t="shared" si="8"/>
        <v>3335.78</v>
      </c>
      <c r="AU9" s="13">
        <f t="shared" si="9"/>
        <v>8602.5</v>
      </c>
      <c r="AV9" s="12">
        <f t="shared" si="9"/>
        <v>3919.58</v>
      </c>
      <c r="AW9" s="12">
        <f t="shared" si="9"/>
        <v>0</v>
      </c>
      <c r="AX9" s="12">
        <f t="shared" si="9"/>
        <v>3919.58</v>
      </c>
      <c r="AY9" s="14">
        <v>2999.9</v>
      </c>
      <c r="AZ9" s="13">
        <v>4281</v>
      </c>
      <c r="BA9" s="13"/>
      <c r="BB9" s="13">
        <v>4281.32</v>
      </c>
      <c r="BC9" s="13">
        <f>2000+14000</f>
        <v>16000</v>
      </c>
      <c r="BD9" s="13">
        <f>BF9-BE9</f>
        <v>5973.16</v>
      </c>
      <c r="BE9" s="13">
        <f>4260+5499+251.92</f>
        <v>10010.92</v>
      </c>
      <c r="BF9" s="13">
        <v>15984.08</v>
      </c>
      <c r="BG9" s="13">
        <f t="shared" si="10"/>
        <v>18999.9</v>
      </c>
      <c r="BH9" s="13">
        <f t="shared" si="10"/>
        <v>10254.16</v>
      </c>
      <c r="BI9" s="13">
        <f t="shared" si="10"/>
        <v>10010.92</v>
      </c>
      <c r="BJ9" s="15">
        <f t="shared" si="10"/>
        <v>20265.4</v>
      </c>
      <c r="BK9" s="16">
        <f>492+78+730+2233.3</f>
        <v>3533.3</v>
      </c>
      <c r="BL9" s="13">
        <v>121.56</v>
      </c>
      <c r="BM9" s="12"/>
      <c r="BN9" s="13">
        <f t="shared" si="14"/>
        <v>121.56</v>
      </c>
      <c r="BO9" s="13">
        <f>8985</f>
        <v>8985</v>
      </c>
      <c r="BP9" s="13">
        <v>5076.5</v>
      </c>
      <c r="BQ9" s="13">
        <v>15577.52</v>
      </c>
      <c r="BR9" s="13">
        <f>SUM(BP9:BQ9)</f>
        <v>20654.02</v>
      </c>
      <c r="BS9" s="13">
        <f t="shared" si="11"/>
        <v>12518.3</v>
      </c>
      <c r="BT9" s="13">
        <f t="shared" si="11"/>
        <v>5198.06</v>
      </c>
      <c r="BU9" s="13">
        <f t="shared" si="11"/>
        <v>15577.52</v>
      </c>
      <c r="BV9" s="17">
        <f t="shared" si="11"/>
        <v>20775.58</v>
      </c>
      <c r="BW9" s="16">
        <v>2605.15</v>
      </c>
      <c r="BX9" s="13">
        <v>5.24</v>
      </c>
      <c r="BY9" s="12"/>
      <c r="BZ9" s="13">
        <f t="shared" si="15"/>
        <v>5.24</v>
      </c>
      <c r="CA9" s="13">
        <v>8958</v>
      </c>
      <c r="CB9" s="13">
        <f>20544.16-15286.66</f>
        <v>5257.5</v>
      </c>
      <c r="CC9" s="13">
        <v>15286.66</v>
      </c>
      <c r="CD9" s="13">
        <f t="shared" si="16"/>
        <v>20544.16</v>
      </c>
      <c r="CE9" s="13">
        <f t="shared" si="12"/>
        <v>11563.15</v>
      </c>
      <c r="CF9" s="13">
        <f t="shared" si="12"/>
        <v>5262.74</v>
      </c>
      <c r="CG9" s="13">
        <f t="shared" si="12"/>
        <v>15286.66</v>
      </c>
      <c r="CH9" s="17">
        <f t="shared" si="12"/>
        <v>20549.4</v>
      </c>
      <c r="CI9" s="16">
        <v>2180</v>
      </c>
      <c r="CJ9" s="13">
        <v>65.08</v>
      </c>
      <c r="CK9" s="12"/>
      <c r="CL9" s="13">
        <f t="shared" si="17"/>
        <v>65.08</v>
      </c>
      <c r="CM9" s="13">
        <v>8958</v>
      </c>
      <c r="CN9" s="13">
        <f>9653.32-65.08+596.84</f>
        <v>10185.08</v>
      </c>
      <c r="CO9" s="13">
        <f>3911.32+14731-14096.4+27.96</f>
        <v>4573.88</v>
      </c>
      <c r="CP9" s="13">
        <f t="shared" si="18"/>
        <v>14758.96</v>
      </c>
      <c r="CQ9" s="13">
        <f t="shared" si="19"/>
        <v>11138</v>
      </c>
      <c r="CR9" s="13">
        <f t="shared" si="19"/>
        <v>10250.16</v>
      </c>
      <c r="CS9" s="13">
        <f t="shared" si="19"/>
        <v>4573.88</v>
      </c>
      <c r="CT9" s="17">
        <f t="shared" si="20"/>
        <v>14824.04</v>
      </c>
    </row>
    <row r="10" spans="1:98" ht="15" customHeight="1">
      <c r="A10" s="8">
        <v>5</v>
      </c>
      <c r="B10" s="9" t="s">
        <v>27</v>
      </c>
      <c r="C10" s="10">
        <v>2686.5</v>
      </c>
      <c r="D10" s="10">
        <v>1051.96</v>
      </c>
      <c r="E10" s="10">
        <f t="shared" si="21"/>
        <v>0</v>
      </c>
      <c r="F10" s="11">
        <v>1051.96</v>
      </c>
      <c r="G10" s="11">
        <v>4711.02</v>
      </c>
      <c r="H10" s="11">
        <v>1080.76</v>
      </c>
      <c r="I10" s="11"/>
      <c r="J10" s="11">
        <f t="shared" si="0"/>
        <v>1080.76</v>
      </c>
      <c r="K10" s="11">
        <f t="shared" si="1"/>
        <v>7397.52</v>
      </c>
      <c r="L10" s="10">
        <f t="shared" si="1"/>
        <v>2132.7200000000003</v>
      </c>
      <c r="M10" s="10">
        <f t="shared" si="1"/>
        <v>0</v>
      </c>
      <c r="N10" s="12">
        <f t="shared" si="1"/>
        <v>2132.7200000000003</v>
      </c>
      <c r="O10" s="12">
        <v>2598.8</v>
      </c>
      <c r="P10" s="13">
        <v>202.56</v>
      </c>
      <c r="Q10" s="12"/>
      <c r="R10" s="13">
        <f t="shared" si="2"/>
        <v>202.56</v>
      </c>
      <c r="S10" s="13">
        <v>10000</v>
      </c>
      <c r="T10" s="13">
        <v>3142.2</v>
      </c>
      <c r="U10" s="13"/>
      <c r="V10" s="13">
        <f t="shared" si="3"/>
        <v>3142.2</v>
      </c>
      <c r="W10" s="13">
        <f t="shared" si="4"/>
        <v>12598.8</v>
      </c>
      <c r="X10" s="12">
        <f t="shared" si="4"/>
        <v>3344.7599999999998</v>
      </c>
      <c r="Y10" s="12">
        <f t="shared" si="4"/>
        <v>0</v>
      </c>
      <c r="Z10" s="12">
        <f t="shared" si="4"/>
        <v>3344.7599999999998</v>
      </c>
      <c r="AA10" s="12">
        <v>2367.77</v>
      </c>
      <c r="AB10" s="13">
        <v>1285.48</v>
      </c>
      <c r="AC10" s="12"/>
      <c r="AD10" s="13">
        <f t="shared" si="5"/>
        <v>1285.48</v>
      </c>
      <c r="AE10" s="13">
        <v>4974.7</v>
      </c>
      <c r="AF10" s="13">
        <v>236.64</v>
      </c>
      <c r="AG10" s="13"/>
      <c r="AH10" s="13">
        <f t="shared" si="6"/>
        <v>236.64</v>
      </c>
      <c r="AI10" s="13">
        <f t="shared" si="7"/>
        <v>7342.469999999999</v>
      </c>
      <c r="AJ10" s="12">
        <f t="shared" si="7"/>
        <v>1522.12</v>
      </c>
      <c r="AK10" s="12">
        <f t="shared" si="7"/>
        <v>0</v>
      </c>
      <c r="AL10" s="12">
        <f t="shared" si="7"/>
        <v>1522.12</v>
      </c>
      <c r="AM10" s="12">
        <v>2620.3</v>
      </c>
      <c r="AN10" s="13">
        <v>453.96</v>
      </c>
      <c r="AO10" s="12"/>
      <c r="AP10" s="13">
        <f t="shared" si="13"/>
        <v>453.96</v>
      </c>
      <c r="AQ10" s="13">
        <v>4905.8</v>
      </c>
      <c r="AR10" s="13">
        <v>491.72</v>
      </c>
      <c r="AS10" s="13"/>
      <c r="AT10" s="13">
        <f t="shared" si="8"/>
        <v>491.72</v>
      </c>
      <c r="AU10" s="13">
        <f t="shared" si="9"/>
        <v>7526.1</v>
      </c>
      <c r="AV10" s="12">
        <f t="shared" si="9"/>
        <v>945.6800000000001</v>
      </c>
      <c r="AW10" s="12">
        <f t="shared" si="9"/>
        <v>0</v>
      </c>
      <c r="AX10" s="12">
        <f t="shared" si="9"/>
        <v>945.6800000000001</v>
      </c>
      <c r="AY10" s="14">
        <v>2586.2</v>
      </c>
      <c r="AZ10" s="13">
        <v>1698</v>
      </c>
      <c r="BA10" s="13"/>
      <c r="BB10" s="13">
        <v>1697.6</v>
      </c>
      <c r="BC10" s="13">
        <f>1300.2+1700</f>
        <v>3000.2</v>
      </c>
      <c r="BD10" s="13">
        <f>BF10-BE10</f>
        <v>1928.1799999999998</v>
      </c>
      <c r="BE10" s="13">
        <v>1664.88</v>
      </c>
      <c r="BF10" s="13">
        <v>3593.06</v>
      </c>
      <c r="BG10" s="13">
        <f t="shared" si="10"/>
        <v>5586.4</v>
      </c>
      <c r="BH10" s="13">
        <f t="shared" si="10"/>
        <v>3626.18</v>
      </c>
      <c r="BI10" s="13">
        <f t="shared" si="10"/>
        <v>1664.88</v>
      </c>
      <c r="BJ10" s="15">
        <f t="shared" si="10"/>
        <v>5290.66</v>
      </c>
      <c r="BK10" s="16">
        <v>3855.8</v>
      </c>
      <c r="BL10" s="13">
        <v>818.44</v>
      </c>
      <c r="BM10" s="12"/>
      <c r="BN10" s="13">
        <f t="shared" si="14"/>
        <v>818.44</v>
      </c>
      <c r="BO10" s="13">
        <v>6016.1</v>
      </c>
      <c r="BP10" s="13">
        <v>6083.96</v>
      </c>
      <c r="BQ10" s="13"/>
      <c r="BR10" s="13">
        <f>SUM(BP10:BQ10)</f>
        <v>6083.96</v>
      </c>
      <c r="BS10" s="13">
        <f t="shared" si="11"/>
        <v>9871.900000000001</v>
      </c>
      <c r="BT10" s="13">
        <f t="shared" si="11"/>
        <v>6902.4</v>
      </c>
      <c r="BU10" s="13">
        <f t="shared" si="11"/>
        <v>0</v>
      </c>
      <c r="BV10" s="17">
        <f t="shared" si="11"/>
        <v>6902.4</v>
      </c>
      <c r="BW10" s="16">
        <v>3036.9</v>
      </c>
      <c r="BX10" s="13">
        <v>355.28</v>
      </c>
      <c r="BY10" s="12"/>
      <c r="BZ10" s="13">
        <f t="shared" si="15"/>
        <v>355.28</v>
      </c>
      <c r="CA10" s="13">
        <v>5312</v>
      </c>
      <c r="CB10" s="13">
        <f>4888-1287.96</f>
        <v>3600.04</v>
      </c>
      <c r="CC10" s="13">
        <v>1287.96</v>
      </c>
      <c r="CD10" s="13">
        <f t="shared" si="16"/>
        <v>4888</v>
      </c>
      <c r="CE10" s="13">
        <f t="shared" si="12"/>
        <v>8348.9</v>
      </c>
      <c r="CF10" s="13">
        <f t="shared" si="12"/>
        <v>3955.3199999999997</v>
      </c>
      <c r="CG10" s="13">
        <f t="shared" si="12"/>
        <v>1287.96</v>
      </c>
      <c r="CH10" s="17">
        <f t="shared" si="12"/>
        <v>5243.28</v>
      </c>
      <c r="CI10" s="16">
        <v>2778</v>
      </c>
      <c r="CJ10" s="13">
        <v>834.64</v>
      </c>
      <c r="CK10" s="12"/>
      <c r="CL10" s="13">
        <f t="shared" si="17"/>
        <v>834.64</v>
      </c>
      <c r="CM10" s="13">
        <v>3844</v>
      </c>
      <c r="CN10" s="13">
        <f>2356.36-834.64+926.6</f>
        <v>2448.32</v>
      </c>
      <c r="CO10" s="13">
        <v>671.56</v>
      </c>
      <c r="CP10" s="13">
        <f t="shared" si="18"/>
        <v>3119.88</v>
      </c>
      <c r="CQ10" s="13">
        <f t="shared" si="19"/>
        <v>6622</v>
      </c>
      <c r="CR10" s="13">
        <f t="shared" si="19"/>
        <v>3282.96</v>
      </c>
      <c r="CS10" s="13">
        <f t="shared" si="19"/>
        <v>671.56</v>
      </c>
      <c r="CT10" s="17">
        <f t="shared" si="20"/>
        <v>3954.52</v>
      </c>
    </row>
    <row r="11" spans="1:98" ht="15" customHeight="1">
      <c r="A11" s="8">
        <v>6</v>
      </c>
      <c r="B11" s="9" t="s">
        <v>28</v>
      </c>
      <c r="C11" s="10">
        <v>812.8</v>
      </c>
      <c r="D11" s="10">
        <v>75.8</v>
      </c>
      <c r="E11" s="10">
        <v>305.7</v>
      </c>
      <c r="F11" s="11">
        <v>381.5</v>
      </c>
      <c r="G11" s="11">
        <v>0</v>
      </c>
      <c r="H11" s="11"/>
      <c r="I11" s="11"/>
      <c r="J11" s="11">
        <f t="shared" si="0"/>
        <v>0</v>
      </c>
      <c r="K11" s="11">
        <f t="shared" si="1"/>
        <v>812.8</v>
      </c>
      <c r="L11" s="10">
        <f t="shared" si="1"/>
        <v>75.8</v>
      </c>
      <c r="M11" s="10">
        <f t="shared" si="1"/>
        <v>305.7</v>
      </c>
      <c r="N11" s="12">
        <f t="shared" si="1"/>
        <v>381.5</v>
      </c>
      <c r="O11" s="12"/>
      <c r="P11" s="13"/>
      <c r="Q11" s="12"/>
      <c r="R11" s="13">
        <f t="shared" si="2"/>
        <v>0</v>
      </c>
      <c r="S11" s="13"/>
      <c r="T11" s="13"/>
      <c r="U11" s="13"/>
      <c r="V11" s="13">
        <f t="shared" si="3"/>
        <v>0</v>
      </c>
      <c r="W11" s="13">
        <f t="shared" si="4"/>
        <v>0</v>
      </c>
      <c r="X11" s="12">
        <f t="shared" si="4"/>
        <v>0</v>
      </c>
      <c r="Y11" s="12">
        <f t="shared" si="4"/>
        <v>0</v>
      </c>
      <c r="Z11" s="12">
        <f t="shared" si="4"/>
        <v>0</v>
      </c>
      <c r="AA11" s="12">
        <v>1109.84</v>
      </c>
      <c r="AB11" s="13">
        <v>213.3</v>
      </c>
      <c r="AC11" s="12"/>
      <c r="AD11" s="13">
        <f t="shared" si="5"/>
        <v>213.3</v>
      </c>
      <c r="AE11" s="13"/>
      <c r="AF11" s="13"/>
      <c r="AG11" s="13"/>
      <c r="AH11" s="13">
        <f t="shared" si="6"/>
        <v>0</v>
      </c>
      <c r="AI11" s="13">
        <f t="shared" si="7"/>
        <v>1109.84</v>
      </c>
      <c r="AJ11" s="12">
        <f t="shared" si="7"/>
        <v>213.3</v>
      </c>
      <c r="AK11" s="12">
        <f t="shared" si="7"/>
        <v>0</v>
      </c>
      <c r="AL11" s="12">
        <f t="shared" si="7"/>
        <v>213.3</v>
      </c>
      <c r="AM11" s="12">
        <v>1101.4</v>
      </c>
      <c r="AN11" s="13">
        <v>6.91</v>
      </c>
      <c r="AO11" s="12"/>
      <c r="AP11" s="13">
        <f t="shared" si="13"/>
        <v>6.91</v>
      </c>
      <c r="AQ11" s="13"/>
      <c r="AR11" s="13"/>
      <c r="AS11" s="13"/>
      <c r="AT11" s="13">
        <f t="shared" si="8"/>
        <v>0</v>
      </c>
      <c r="AU11" s="13">
        <f t="shared" si="9"/>
        <v>1101.4</v>
      </c>
      <c r="AV11" s="12">
        <f t="shared" si="9"/>
        <v>6.91</v>
      </c>
      <c r="AW11" s="12">
        <f t="shared" si="9"/>
        <v>0</v>
      </c>
      <c r="AX11" s="12">
        <f t="shared" si="9"/>
        <v>6.91</v>
      </c>
      <c r="AY11" s="14">
        <v>1420.85</v>
      </c>
      <c r="AZ11" s="13">
        <f>BB11-BA11</f>
        <v>25.039999999999964</v>
      </c>
      <c r="BA11" s="13">
        <v>1997.28</v>
      </c>
      <c r="BB11" s="13">
        <v>2022.32</v>
      </c>
      <c r="BC11" s="13"/>
      <c r="BD11" s="13"/>
      <c r="BE11" s="13"/>
      <c r="BF11" s="13"/>
      <c r="BG11" s="13">
        <f t="shared" si="10"/>
        <v>1420.85</v>
      </c>
      <c r="BH11" s="13">
        <f t="shared" si="10"/>
        <v>25.039999999999964</v>
      </c>
      <c r="BI11" s="13">
        <f t="shared" si="10"/>
        <v>1997.28</v>
      </c>
      <c r="BJ11" s="15">
        <f t="shared" si="10"/>
        <v>2022.32</v>
      </c>
      <c r="BK11" s="16">
        <f>82+20+4.6+1+16+20.8+21.6+394+44.8+44+5.3+8+8+9.6+26+169.6+75.6+22+28</f>
        <v>1000.9</v>
      </c>
      <c r="BL11" s="13">
        <f>1152.63-1038.26</f>
        <v>114.37000000000012</v>
      </c>
      <c r="BM11" s="12">
        <v>1038.26</v>
      </c>
      <c r="BN11" s="13">
        <f t="shared" si="14"/>
        <v>1152.63</v>
      </c>
      <c r="BO11" s="13"/>
      <c r="BP11" s="13"/>
      <c r="BQ11" s="13"/>
      <c r="BR11" s="13"/>
      <c r="BS11" s="13">
        <f t="shared" si="11"/>
        <v>1000.9</v>
      </c>
      <c r="BT11" s="13">
        <f t="shared" si="11"/>
        <v>114.37000000000012</v>
      </c>
      <c r="BU11" s="13">
        <f t="shared" si="11"/>
        <v>1038.26</v>
      </c>
      <c r="BV11" s="17">
        <f t="shared" si="11"/>
        <v>1152.63</v>
      </c>
      <c r="BW11" s="16">
        <v>1911.4</v>
      </c>
      <c r="BX11" s="13">
        <f>754.34-374.96</f>
        <v>379.38000000000005</v>
      </c>
      <c r="BY11" s="12">
        <f>217.2+157.76</f>
        <v>374.96</v>
      </c>
      <c r="BZ11" s="13">
        <f t="shared" si="15"/>
        <v>754.34</v>
      </c>
      <c r="CA11" s="13"/>
      <c r="CB11" s="13"/>
      <c r="CC11" s="13"/>
      <c r="CD11" s="13">
        <f t="shared" si="16"/>
        <v>0</v>
      </c>
      <c r="CE11" s="13">
        <f t="shared" si="12"/>
        <v>1911.4</v>
      </c>
      <c r="CF11" s="13">
        <f t="shared" si="12"/>
        <v>379.38000000000005</v>
      </c>
      <c r="CG11" s="13">
        <f t="shared" si="12"/>
        <v>374.96</v>
      </c>
      <c r="CH11" s="17">
        <f t="shared" si="12"/>
        <v>754.34</v>
      </c>
      <c r="CI11" s="16">
        <v>1758.5</v>
      </c>
      <c r="CJ11" s="13">
        <f>758.93+152.08-680</f>
        <v>231.01</v>
      </c>
      <c r="CK11" s="12">
        <v>680</v>
      </c>
      <c r="CL11" s="13">
        <f t="shared" si="17"/>
        <v>911.01</v>
      </c>
      <c r="CM11" s="13"/>
      <c r="CN11" s="13"/>
      <c r="CO11" s="13"/>
      <c r="CP11" s="13">
        <f t="shared" si="18"/>
        <v>0</v>
      </c>
      <c r="CQ11" s="13">
        <f t="shared" si="19"/>
        <v>1758.5</v>
      </c>
      <c r="CR11" s="13">
        <f t="shared" si="19"/>
        <v>231.01</v>
      </c>
      <c r="CS11" s="13">
        <f t="shared" si="19"/>
        <v>680</v>
      </c>
      <c r="CT11" s="17">
        <f t="shared" si="20"/>
        <v>911.01</v>
      </c>
    </row>
    <row r="12" spans="1:98" ht="15" customHeight="1">
      <c r="A12" s="8">
        <v>7</v>
      </c>
      <c r="B12" s="9" t="s">
        <v>29</v>
      </c>
      <c r="C12" s="10">
        <v>0</v>
      </c>
      <c r="D12" s="10">
        <v>0</v>
      </c>
      <c r="E12" s="10">
        <f t="shared" si="21"/>
        <v>0</v>
      </c>
      <c r="F12" s="10">
        <v>0</v>
      </c>
      <c r="G12" s="11">
        <v>2155.5</v>
      </c>
      <c r="H12" s="11"/>
      <c r="I12" s="11">
        <v>302.73</v>
      </c>
      <c r="J12" s="11">
        <f t="shared" si="0"/>
        <v>302.73</v>
      </c>
      <c r="K12" s="11">
        <f t="shared" si="1"/>
        <v>2155.5</v>
      </c>
      <c r="L12" s="10">
        <f t="shared" si="1"/>
        <v>0</v>
      </c>
      <c r="M12" s="10">
        <f t="shared" si="1"/>
        <v>302.73</v>
      </c>
      <c r="N12" s="12">
        <f t="shared" si="1"/>
        <v>302.73</v>
      </c>
      <c r="O12" s="12"/>
      <c r="P12" s="12"/>
      <c r="Q12" s="12"/>
      <c r="R12" s="13">
        <f t="shared" si="2"/>
        <v>0</v>
      </c>
      <c r="S12" s="13">
        <v>2220.85</v>
      </c>
      <c r="T12" s="13"/>
      <c r="U12" s="13">
        <v>579.5</v>
      </c>
      <c r="V12" s="13">
        <f t="shared" si="3"/>
        <v>579.5</v>
      </c>
      <c r="W12" s="13">
        <f t="shared" si="4"/>
        <v>2220.85</v>
      </c>
      <c r="X12" s="12">
        <f t="shared" si="4"/>
        <v>0</v>
      </c>
      <c r="Y12" s="12">
        <f t="shared" si="4"/>
        <v>579.5</v>
      </c>
      <c r="Z12" s="12">
        <f t="shared" si="4"/>
        <v>579.5</v>
      </c>
      <c r="AA12" s="12"/>
      <c r="AB12" s="12"/>
      <c r="AC12" s="12"/>
      <c r="AD12" s="13">
        <f t="shared" si="5"/>
        <v>0</v>
      </c>
      <c r="AE12" s="13">
        <v>1780</v>
      </c>
      <c r="AF12" s="13"/>
      <c r="AG12" s="13">
        <v>615.3</v>
      </c>
      <c r="AH12" s="13">
        <f t="shared" si="6"/>
        <v>615.3</v>
      </c>
      <c r="AI12" s="13">
        <f t="shared" si="7"/>
        <v>1780</v>
      </c>
      <c r="AJ12" s="12">
        <f t="shared" si="7"/>
        <v>0</v>
      </c>
      <c r="AK12" s="12">
        <f t="shared" si="7"/>
        <v>615.3</v>
      </c>
      <c r="AL12" s="12">
        <f t="shared" si="7"/>
        <v>615.3</v>
      </c>
      <c r="AM12" s="12"/>
      <c r="AN12" s="12"/>
      <c r="AO12" s="12"/>
      <c r="AP12" s="13">
        <f t="shared" si="13"/>
        <v>0</v>
      </c>
      <c r="AQ12" s="13">
        <v>1853.6</v>
      </c>
      <c r="AR12" s="13"/>
      <c r="AS12" s="13">
        <v>449.3</v>
      </c>
      <c r="AT12" s="13">
        <f t="shared" si="8"/>
        <v>449.3</v>
      </c>
      <c r="AU12" s="13">
        <f t="shared" si="9"/>
        <v>1853.6</v>
      </c>
      <c r="AV12" s="12">
        <f t="shared" si="9"/>
        <v>0</v>
      </c>
      <c r="AW12" s="12">
        <f t="shared" si="9"/>
        <v>449.3</v>
      </c>
      <c r="AX12" s="12">
        <f t="shared" si="9"/>
        <v>449.3</v>
      </c>
      <c r="AY12" s="14"/>
      <c r="AZ12" s="13"/>
      <c r="BA12" s="13"/>
      <c r="BB12" s="13"/>
      <c r="BC12" s="13">
        <v>500</v>
      </c>
      <c r="BD12" s="13"/>
      <c r="BE12" s="13">
        <v>81.1</v>
      </c>
      <c r="BF12" s="13">
        <v>81.1</v>
      </c>
      <c r="BG12" s="13">
        <f t="shared" si="10"/>
        <v>500</v>
      </c>
      <c r="BH12" s="13">
        <f t="shared" si="10"/>
        <v>0</v>
      </c>
      <c r="BI12" s="13">
        <f t="shared" si="10"/>
        <v>81.1</v>
      </c>
      <c r="BJ12" s="15">
        <f t="shared" si="10"/>
        <v>81.1</v>
      </c>
      <c r="BK12" s="16"/>
      <c r="BL12" s="12"/>
      <c r="BM12" s="12"/>
      <c r="BN12" s="13">
        <f t="shared" si="14"/>
        <v>0</v>
      </c>
      <c r="BO12" s="13">
        <v>1745.3</v>
      </c>
      <c r="BP12" s="13"/>
      <c r="BQ12" s="13">
        <v>129.79</v>
      </c>
      <c r="BR12" s="13">
        <f aca="true" t="shared" si="22" ref="BR12:BR17">SUM(BP12:BQ12)</f>
        <v>129.79</v>
      </c>
      <c r="BS12" s="13">
        <f t="shared" si="11"/>
        <v>1745.3</v>
      </c>
      <c r="BT12" s="13">
        <f t="shared" si="11"/>
        <v>0</v>
      </c>
      <c r="BU12" s="13">
        <f t="shared" si="11"/>
        <v>129.79</v>
      </c>
      <c r="BV12" s="17">
        <f t="shared" si="11"/>
        <v>129.79</v>
      </c>
      <c r="BW12" s="16"/>
      <c r="BX12" s="12">
        <v>0</v>
      </c>
      <c r="BY12" s="12"/>
      <c r="BZ12" s="13">
        <f t="shared" si="15"/>
        <v>0</v>
      </c>
      <c r="CA12" s="13">
        <v>1408.9</v>
      </c>
      <c r="CB12" s="13"/>
      <c r="CC12" s="13">
        <v>487.2</v>
      </c>
      <c r="CD12" s="13">
        <f t="shared" si="16"/>
        <v>487.2</v>
      </c>
      <c r="CE12" s="13">
        <f t="shared" si="12"/>
        <v>1408.9</v>
      </c>
      <c r="CF12" s="13">
        <f t="shared" si="12"/>
        <v>0</v>
      </c>
      <c r="CG12" s="13">
        <f t="shared" si="12"/>
        <v>487.2</v>
      </c>
      <c r="CH12" s="17">
        <f t="shared" si="12"/>
        <v>487.2</v>
      </c>
      <c r="CI12" s="16"/>
      <c r="CJ12" s="12"/>
      <c r="CK12" s="12"/>
      <c r="CL12" s="13">
        <f t="shared" si="17"/>
        <v>0</v>
      </c>
      <c r="CM12" s="13">
        <v>300</v>
      </c>
      <c r="CN12" s="13"/>
      <c r="CO12" s="13">
        <v>809.7</v>
      </c>
      <c r="CP12" s="13">
        <f t="shared" si="18"/>
        <v>809.7</v>
      </c>
      <c r="CQ12" s="13">
        <f t="shared" si="19"/>
        <v>300</v>
      </c>
      <c r="CR12" s="13">
        <f t="shared" si="19"/>
        <v>0</v>
      </c>
      <c r="CS12" s="13">
        <f t="shared" si="19"/>
        <v>809.7</v>
      </c>
      <c r="CT12" s="17">
        <f t="shared" si="20"/>
        <v>809.7</v>
      </c>
    </row>
    <row r="13" spans="1:98" ht="15" customHeight="1">
      <c r="A13" s="8">
        <v>8</v>
      </c>
      <c r="B13" s="9" t="s">
        <v>30</v>
      </c>
      <c r="C13" s="10">
        <v>0</v>
      </c>
      <c r="D13" s="10">
        <v>0</v>
      </c>
      <c r="E13" s="10">
        <f t="shared" si="21"/>
        <v>0</v>
      </c>
      <c r="F13" s="10">
        <v>0</v>
      </c>
      <c r="G13" s="11">
        <v>1126</v>
      </c>
      <c r="H13" s="11"/>
      <c r="I13" s="11">
        <v>266.93</v>
      </c>
      <c r="J13" s="11">
        <f t="shared" si="0"/>
        <v>266.93</v>
      </c>
      <c r="K13" s="11">
        <f t="shared" si="1"/>
        <v>1126</v>
      </c>
      <c r="L13" s="10">
        <f t="shared" si="1"/>
        <v>0</v>
      </c>
      <c r="M13" s="10">
        <f t="shared" si="1"/>
        <v>266.93</v>
      </c>
      <c r="N13" s="12">
        <f t="shared" si="1"/>
        <v>266.93</v>
      </c>
      <c r="O13" s="12"/>
      <c r="P13" s="12"/>
      <c r="Q13" s="12"/>
      <c r="R13" s="13">
        <f t="shared" si="2"/>
        <v>0</v>
      </c>
      <c r="S13" s="13">
        <v>2000</v>
      </c>
      <c r="T13" s="13">
        <v>11.66</v>
      </c>
      <c r="U13" s="13">
        <v>299.69</v>
      </c>
      <c r="V13" s="13">
        <f t="shared" si="3"/>
        <v>311.35</v>
      </c>
      <c r="W13" s="13">
        <f t="shared" si="4"/>
        <v>2000</v>
      </c>
      <c r="X13" s="12">
        <f t="shared" si="4"/>
        <v>11.66</v>
      </c>
      <c r="Y13" s="12">
        <f t="shared" si="4"/>
        <v>299.69</v>
      </c>
      <c r="Z13" s="12">
        <f t="shared" si="4"/>
        <v>311.35</v>
      </c>
      <c r="AA13" s="12"/>
      <c r="AB13" s="12"/>
      <c r="AC13" s="12"/>
      <c r="AD13" s="13">
        <f t="shared" si="5"/>
        <v>0</v>
      </c>
      <c r="AE13" s="13">
        <v>1207.7</v>
      </c>
      <c r="AF13" s="13">
        <v>52.32</v>
      </c>
      <c r="AG13" s="13">
        <f>271.37-52.32</f>
        <v>219.05</v>
      </c>
      <c r="AH13" s="13">
        <f t="shared" si="6"/>
        <v>271.37</v>
      </c>
      <c r="AI13" s="13">
        <f t="shared" si="7"/>
        <v>1207.7</v>
      </c>
      <c r="AJ13" s="12">
        <f t="shared" si="7"/>
        <v>52.32</v>
      </c>
      <c r="AK13" s="12">
        <f t="shared" si="7"/>
        <v>219.05</v>
      </c>
      <c r="AL13" s="12">
        <f t="shared" si="7"/>
        <v>271.37</v>
      </c>
      <c r="AM13" s="12"/>
      <c r="AN13" s="12"/>
      <c r="AO13" s="12"/>
      <c r="AP13" s="13">
        <f t="shared" si="13"/>
        <v>0</v>
      </c>
      <c r="AQ13" s="13">
        <v>4447.39</v>
      </c>
      <c r="AR13" s="13">
        <f>4027.53-3805.65</f>
        <v>221.8800000000001</v>
      </c>
      <c r="AS13" s="13">
        <v>3805.65</v>
      </c>
      <c r="AT13" s="13">
        <f t="shared" si="8"/>
        <v>4027.53</v>
      </c>
      <c r="AU13" s="13">
        <f t="shared" si="9"/>
        <v>4447.39</v>
      </c>
      <c r="AV13" s="12">
        <f t="shared" si="9"/>
        <v>221.8800000000001</v>
      </c>
      <c r="AW13" s="12">
        <f t="shared" si="9"/>
        <v>3805.65</v>
      </c>
      <c r="AX13" s="12">
        <f t="shared" si="9"/>
        <v>4027.53</v>
      </c>
      <c r="AY13" s="14"/>
      <c r="AZ13" s="13"/>
      <c r="BA13" s="13"/>
      <c r="BB13" s="13"/>
      <c r="BC13" s="13">
        <v>500</v>
      </c>
      <c r="BD13" s="13">
        <f>BF13</f>
        <v>222.78</v>
      </c>
      <c r="BE13" s="13"/>
      <c r="BF13" s="13">
        <v>222.78</v>
      </c>
      <c r="BG13" s="13">
        <f t="shared" si="10"/>
        <v>500</v>
      </c>
      <c r="BH13" s="13">
        <f t="shared" si="10"/>
        <v>222.78</v>
      </c>
      <c r="BI13" s="13">
        <f t="shared" si="10"/>
        <v>0</v>
      </c>
      <c r="BJ13" s="15">
        <f t="shared" si="10"/>
        <v>222.78</v>
      </c>
      <c r="BK13" s="16"/>
      <c r="BL13" s="12"/>
      <c r="BM13" s="12"/>
      <c r="BN13" s="13">
        <f t="shared" si="14"/>
        <v>0</v>
      </c>
      <c r="BO13" s="13">
        <v>1335.7</v>
      </c>
      <c r="BP13" s="13">
        <v>270.52</v>
      </c>
      <c r="BQ13" s="13">
        <v>333</v>
      </c>
      <c r="BR13" s="13">
        <f t="shared" si="22"/>
        <v>603.52</v>
      </c>
      <c r="BS13" s="13">
        <f t="shared" si="11"/>
        <v>1335.7</v>
      </c>
      <c r="BT13" s="13">
        <f t="shared" si="11"/>
        <v>270.52</v>
      </c>
      <c r="BU13" s="13">
        <f t="shared" si="11"/>
        <v>333</v>
      </c>
      <c r="BV13" s="17">
        <f t="shared" si="11"/>
        <v>603.52</v>
      </c>
      <c r="BW13" s="16"/>
      <c r="BX13" s="12">
        <v>0</v>
      </c>
      <c r="BY13" s="12"/>
      <c r="BZ13" s="13">
        <f t="shared" si="15"/>
        <v>0</v>
      </c>
      <c r="CA13" s="13">
        <v>1046.15</v>
      </c>
      <c r="CB13" s="13">
        <f>2342.02-1855.82</f>
        <v>486.20000000000005</v>
      </c>
      <c r="CC13" s="13">
        <v>1855.82</v>
      </c>
      <c r="CD13" s="13">
        <f t="shared" si="16"/>
        <v>2342.02</v>
      </c>
      <c r="CE13" s="13">
        <f t="shared" si="12"/>
        <v>1046.15</v>
      </c>
      <c r="CF13" s="13">
        <f t="shared" si="12"/>
        <v>486.20000000000005</v>
      </c>
      <c r="CG13" s="13">
        <f t="shared" si="12"/>
        <v>1855.82</v>
      </c>
      <c r="CH13" s="17">
        <f t="shared" si="12"/>
        <v>2342.02</v>
      </c>
      <c r="CI13" s="16"/>
      <c r="CJ13" s="12"/>
      <c r="CK13" s="12"/>
      <c r="CL13" s="13">
        <f t="shared" si="17"/>
        <v>0</v>
      </c>
      <c r="CM13" s="13">
        <v>815</v>
      </c>
      <c r="CN13" s="13">
        <f>224.96+32.12+332.4</f>
        <v>589.48</v>
      </c>
      <c r="CO13" s="13">
        <f>400+1124.2</f>
        <v>1524.2</v>
      </c>
      <c r="CP13" s="13">
        <f t="shared" si="18"/>
        <v>2113.6800000000003</v>
      </c>
      <c r="CQ13" s="13">
        <f t="shared" si="19"/>
        <v>815</v>
      </c>
      <c r="CR13" s="13">
        <f t="shared" si="19"/>
        <v>589.48</v>
      </c>
      <c r="CS13" s="13">
        <f t="shared" si="19"/>
        <v>1524.2</v>
      </c>
      <c r="CT13" s="17">
        <f t="shared" si="20"/>
        <v>2113.6800000000003</v>
      </c>
    </row>
    <row r="14" spans="1:98" ht="15" customHeight="1">
      <c r="A14" s="8">
        <v>9</v>
      </c>
      <c r="B14" s="9" t="s">
        <v>31</v>
      </c>
      <c r="C14" s="10">
        <v>0</v>
      </c>
      <c r="D14" s="10">
        <v>0</v>
      </c>
      <c r="E14" s="10">
        <f t="shared" si="21"/>
        <v>0</v>
      </c>
      <c r="F14" s="10">
        <v>0</v>
      </c>
      <c r="G14" s="11">
        <v>218.2</v>
      </c>
      <c r="H14" s="11"/>
      <c r="I14" s="11"/>
      <c r="J14" s="11">
        <f t="shared" si="0"/>
        <v>0</v>
      </c>
      <c r="K14" s="11">
        <f t="shared" si="1"/>
        <v>218.2</v>
      </c>
      <c r="L14" s="10">
        <f t="shared" si="1"/>
        <v>0</v>
      </c>
      <c r="M14" s="10">
        <f t="shared" si="1"/>
        <v>0</v>
      </c>
      <c r="N14" s="12">
        <f t="shared" si="1"/>
        <v>0</v>
      </c>
      <c r="O14" s="12"/>
      <c r="P14" s="12"/>
      <c r="Q14" s="12"/>
      <c r="R14" s="13">
        <f t="shared" si="2"/>
        <v>0</v>
      </c>
      <c r="S14" s="13"/>
      <c r="T14" s="13">
        <v>0.1</v>
      </c>
      <c r="U14" s="13"/>
      <c r="V14" s="13">
        <f t="shared" si="3"/>
        <v>0.1</v>
      </c>
      <c r="W14" s="13">
        <f t="shared" si="4"/>
        <v>0</v>
      </c>
      <c r="X14" s="12">
        <f t="shared" si="4"/>
        <v>0.1</v>
      </c>
      <c r="Y14" s="12">
        <f t="shared" si="4"/>
        <v>0</v>
      </c>
      <c r="Z14" s="12">
        <f t="shared" si="4"/>
        <v>0.1</v>
      </c>
      <c r="AA14" s="12">
        <v>173.15</v>
      </c>
      <c r="AB14" s="12">
        <v>1.56</v>
      </c>
      <c r="AC14" s="12"/>
      <c r="AD14" s="13">
        <f t="shared" si="5"/>
        <v>1.56</v>
      </c>
      <c r="AE14" s="13">
        <v>298.48</v>
      </c>
      <c r="AF14" s="13">
        <v>0.8</v>
      </c>
      <c r="AG14" s="13"/>
      <c r="AH14" s="13">
        <f t="shared" si="6"/>
        <v>0.8</v>
      </c>
      <c r="AI14" s="13">
        <f t="shared" si="7"/>
        <v>471.63</v>
      </c>
      <c r="AJ14" s="12">
        <f t="shared" si="7"/>
        <v>2.3600000000000003</v>
      </c>
      <c r="AK14" s="12">
        <f t="shared" si="7"/>
        <v>0</v>
      </c>
      <c r="AL14" s="12">
        <f t="shared" si="7"/>
        <v>2.3600000000000003</v>
      </c>
      <c r="AM14" s="12">
        <v>113.9</v>
      </c>
      <c r="AN14" s="12"/>
      <c r="AO14" s="12"/>
      <c r="AP14" s="13">
        <f t="shared" si="13"/>
        <v>0</v>
      </c>
      <c r="AQ14" s="13">
        <v>112</v>
      </c>
      <c r="AR14" s="13">
        <v>54.56</v>
      </c>
      <c r="AS14" s="13"/>
      <c r="AT14" s="13">
        <f t="shared" si="8"/>
        <v>54.56</v>
      </c>
      <c r="AU14" s="13">
        <f t="shared" si="9"/>
        <v>225.9</v>
      </c>
      <c r="AV14" s="12">
        <f t="shared" si="9"/>
        <v>54.56</v>
      </c>
      <c r="AW14" s="12">
        <f t="shared" si="9"/>
        <v>0</v>
      </c>
      <c r="AX14" s="12">
        <f t="shared" si="9"/>
        <v>54.56</v>
      </c>
      <c r="AY14" s="14">
        <v>147.4</v>
      </c>
      <c r="AZ14" s="13">
        <v>8</v>
      </c>
      <c r="BA14" s="13"/>
      <c r="BB14" s="13">
        <v>7.98</v>
      </c>
      <c r="BC14" s="13">
        <v>75.85</v>
      </c>
      <c r="BD14" s="13">
        <f>BF14</f>
        <v>49.62</v>
      </c>
      <c r="BE14" s="13"/>
      <c r="BF14" s="13">
        <v>49.62</v>
      </c>
      <c r="BG14" s="13">
        <f t="shared" si="10"/>
        <v>223.25</v>
      </c>
      <c r="BH14" s="13">
        <f t="shared" si="10"/>
        <v>57.62</v>
      </c>
      <c r="BI14" s="13">
        <f t="shared" si="10"/>
        <v>0</v>
      </c>
      <c r="BJ14" s="15">
        <f t="shared" si="10"/>
        <v>57.599999999999994</v>
      </c>
      <c r="BK14" s="16">
        <f>14+15+12+36+17+38</f>
        <v>132</v>
      </c>
      <c r="BL14" s="12">
        <v>3</v>
      </c>
      <c r="BM14" s="12"/>
      <c r="BN14" s="13">
        <f t="shared" si="14"/>
        <v>3</v>
      </c>
      <c r="BO14" s="13">
        <v>323</v>
      </c>
      <c r="BP14" s="13">
        <v>21.19</v>
      </c>
      <c r="BQ14" s="13">
        <v>230.3</v>
      </c>
      <c r="BR14" s="13">
        <f t="shared" si="22"/>
        <v>251.49</v>
      </c>
      <c r="BS14" s="13">
        <f t="shared" si="11"/>
        <v>455</v>
      </c>
      <c r="BT14" s="13">
        <f t="shared" si="11"/>
        <v>24.19</v>
      </c>
      <c r="BU14" s="13">
        <f t="shared" si="11"/>
        <v>230.3</v>
      </c>
      <c r="BV14" s="17">
        <f t="shared" si="11"/>
        <v>254.49</v>
      </c>
      <c r="BW14" s="16">
        <v>105.5</v>
      </c>
      <c r="BX14" s="12">
        <v>12</v>
      </c>
      <c r="BY14" s="12"/>
      <c r="BZ14" s="13">
        <f t="shared" si="15"/>
        <v>12</v>
      </c>
      <c r="CA14" s="13">
        <v>328.5</v>
      </c>
      <c r="CB14" s="13">
        <v>106.09</v>
      </c>
      <c r="CC14" s="13"/>
      <c r="CD14" s="13">
        <f t="shared" si="16"/>
        <v>106.09</v>
      </c>
      <c r="CE14" s="13">
        <f t="shared" si="12"/>
        <v>434</v>
      </c>
      <c r="CF14" s="13">
        <f t="shared" si="12"/>
        <v>118.09</v>
      </c>
      <c r="CG14" s="13">
        <f t="shared" si="12"/>
        <v>0</v>
      </c>
      <c r="CH14" s="17">
        <f t="shared" si="12"/>
        <v>118.09</v>
      </c>
      <c r="CI14" s="16"/>
      <c r="CJ14" s="12"/>
      <c r="CK14" s="12"/>
      <c r="CL14" s="13">
        <f t="shared" si="17"/>
        <v>0</v>
      </c>
      <c r="CM14" s="13">
        <v>337</v>
      </c>
      <c r="CN14" s="13">
        <v>3.68</v>
      </c>
      <c r="CO14" s="13">
        <v>172.65</v>
      </c>
      <c r="CP14" s="13">
        <f t="shared" si="18"/>
        <v>176.33</v>
      </c>
      <c r="CQ14" s="13">
        <f t="shared" si="19"/>
        <v>337</v>
      </c>
      <c r="CR14" s="13">
        <f t="shared" si="19"/>
        <v>3.68</v>
      </c>
      <c r="CS14" s="13">
        <f t="shared" si="19"/>
        <v>172.65</v>
      </c>
      <c r="CT14" s="17">
        <f t="shared" si="20"/>
        <v>176.33</v>
      </c>
    </row>
    <row r="15" spans="1:98" ht="15" customHeight="1">
      <c r="A15" s="8">
        <v>10</v>
      </c>
      <c r="B15" s="9" t="s">
        <v>32</v>
      </c>
      <c r="C15" s="10">
        <v>0</v>
      </c>
      <c r="D15" s="10">
        <v>0</v>
      </c>
      <c r="E15" s="10">
        <f t="shared" si="21"/>
        <v>0</v>
      </c>
      <c r="F15" s="10">
        <v>0</v>
      </c>
      <c r="G15" s="11">
        <v>2943.32</v>
      </c>
      <c r="H15" s="11">
        <f>1232.67-89</f>
        <v>1143.67</v>
      </c>
      <c r="I15" s="11">
        <v>89</v>
      </c>
      <c r="J15" s="11">
        <f t="shared" si="0"/>
        <v>1232.67</v>
      </c>
      <c r="K15" s="11">
        <f t="shared" si="1"/>
        <v>2943.32</v>
      </c>
      <c r="L15" s="10">
        <f t="shared" si="1"/>
        <v>1143.67</v>
      </c>
      <c r="M15" s="10">
        <f t="shared" si="1"/>
        <v>89</v>
      </c>
      <c r="N15" s="12">
        <f t="shared" si="1"/>
        <v>1232.67</v>
      </c>
      <c r="O15" s="12"/>
      <c r="P15" s="12"/>
      <c r="Q15" s="12"/>
      <c r="R15" s="13">
        <f t="shared" si="2"/>
        <v>0</v>
      </c>
      <c r="S15" s="13">
        <v>5000</v>
      </c>
      <c r="T15" s="13">
        <v>1670.49</v>
      </c>
      <c r="U15" s="13"/>
      <c r="V15" s="13">
        <f t="shared" si="3"/>
        <v>1670.49</v>
      </c>
      <c r="W15" s="13">
        <f t="shared" si="4"/>
        <v>5000</v>
      </c>
      <c r="X15" s="12">
        <f t="shared" si="4"/>
        <v>1670.49</v>
      </c>
      <c r="Y15" s="12">
        <f t="shared" si="4"/>
        <v>0</v>
      </c>
      <c r="Z15" s="12">
        <f t="shared" si="4"/>
        <v>1670.49</v>
      </c>
      <c r="AA15" s="12"/>
      <c r="AB15" s="12"/>
      <c r="AC15" s="12"/>
      <c r="AD15" s="13">
        <f t="shared" si="5"/>
        <v>0</v>
      </c>
      <c r="AE15" s="13">
        <v>2946.3</v>
      </c>
      <c r="AF15" s="13">
        <f>1631.75-600</f>
        <v>1031.75</v>
      </c>
      <c r="AG15" s="13">
        <v>600</v>
      </c>
      <c r="AH15" s="13">
        <f t="shared" si="6"/>
        <v>1631.75</v>
      </c>
      <c r="AI15" s="13">
        <f t="shared" si="7"/>
        <v>2946.3</v>
      </c>
      <c r="AJ15" s="12">
        <f t="shared" si="7"/>
        <v>1031.75</v>
      </c>
      <c r="AK15" s="12">
        <f t="shared" si="7"/>
        <v>600</v>
      </c>
      <c r="AL15" s="12">
        <f t="shared" si="7"/>
        <v>1631.75</v>
      </c>
      <c r="AM15" s="12"/>
      <c r="AN15" s="12"/>
      <c r="AO15" s="12"/>
      <c r="AP15" s="13">
        <f t="shared" si="13"/>
        <v>0</v>
      </c>
      <c r="AQ15" s="13">
        <v>3136.42</v>
      </c>
      <c r="AR15" s="13">
        <v>790.24</v>
      </c>
      <c r="AS15" s="13"/>
      <c r="AT15" s="13">
        <f t="shared" si="8"/>
        <v>790.24</v>
      </c>
      <c r="AU15" s="13">
        <f t="shared" si="9"/>
        <v>3136.42</v>
      </c>
      <c r="AV15" s="12">
        <f t="shared" si="9"/>
        <v>790.24</v>
      </c>
      <c r="AW15" s="12">
        <f t="shared" si="9"/>
        <v>0</v>
      </c>
      <c r="AX15" s="12">
        <f t="shared" si="9"/>
        <v>790.24</v>
      </c>
      <c r="AY15" s="14"/>
      <c r="AZ15" s="13"/>
      <c r="BA15" s="13"/>
      <c r="BB15" s="13"/>
      <c r="BC15" s="13">
        <v>1000.7</v>
      </c>
      <c r="BD15" s="13">
        <f>BF15</f>
        <v>237.72</v>
      </c>
      <c r="BE15" s="13"/>
      <c r="BF15" s="13">
        <v>237.72</v>
      </c>
      <c r="BG15" s="13">
        <f t="shared" si="10"/>
        <v>1000.7</v>
      </c>
      <c r="BH15" s="13">
        <f t="shared" si="10"/>
        <v>237.72</v>
      </c>
      <c r="BI15" s="13">
        <f t="shared" si="10"/>
        <v>0</v>
      </c>
      <c r="BJ15" s="15">
        <f t="shared" si="10"/>
        <v>237.72</v>
      </c>
      <c r="BK15" s="16"/>
      <c r="BL15" s="12"/>
      <c r="BM15" s="12"/>
      <c r="BN15" s="13">
        <f t="shared" si="14"/>
        <v>0</v>
      </c>
      <c r="BO15" s="13">
        <v>2481.4</v>
      </c>
      <c r="BP15" s="13">
        <v>509.06</v>
      </c>
      <c r="BQ15" s="13">
        <v>112.12</v>
      </c>
      <c r="BR15" s="13">
        <f t="shared" si="22"/>
        <v>621.1800000000001</v>
      </c>
      <c r="BS15" s="13">
        <f t="shared" si="11"/>
        <v>2481.4</v>
      </c>
      <c r="BT15" s="13">
        <f t="shared" si="11"/>
        <v>509.06</v>
      </c>
      <c r="BU15" s="13">
        <f t="shared" si="11"/>
        <v>112.12</v>
      </c>
      <c r="BV15" s="17">
        <f t="shared" si="11"/>
        <v>621.1800000000001</v>
      </c>
      <c r="BW15" s="16"/>
      <c r="BX15" s="12">
        <v>0</v>
      </c>
      <c r="BY15" s="12"/>
      <c r="BZ15" s="13">
        <f t="shared" si="15"/>
        <v>0</v>
      </c>
      <c r="CA15" s="13">
        <v>1614.5</v>
      </c>
      <c r="CB15" s="13">
        <v>661.94</v>
      </c>
      <c r="CC15" s="13"/>
      <c r="CD15" s="13">
        <f t="shared" si="16"/>
        <v>661.94</v>
      </c>
      <c r="CE15" s="13">
        <f t="shared" si="12"/>
        <v>1614.5</v>
      </c>
      <c r="CF15" s="13">
        <f t="shared" si="12"/>
        <v>661.94</v>
      </c>
      <c r="CG15" s="13">
        <f t="shared" si="12"/>
        <v>0</v>
      </c>
      <c r="CH15" s="17">
        <f t="shared" si="12"/>
        <v>661.94</v>
      </c>
      <c r="CI15" s="16"/>
      <c r="CJ15" s="12"/>
      <c r="CK15" s="12"/>
      <c r="CL15" s="13">
        <f t="shared" si="17"/>
        <v>0</v>
      </c>
      <c r="CM15" s="13">
        <v>1108</v>
      </c>
      <c r="CN15" s="13">
        <f>504.84</f>
        <v>504.84</v>
      </c>
      <c r="CO15" s="13">
        <v>184.08</v>
      </c>
      <c r="CP15" s="13">
        <f t="shared" si="18"/>
        <v>688.92</v>
      </c>
      <c r="CQ15" s="13">
        <f t="shared" si="19"/>
        <v>1108</v>
      </c>
      <c r="CR15" s="13">
        <f t="shared" si="19"/>
        <v>504.84</v>
      </c>
      <c r="CS15" s="13">
        <f t="shared" si="19"/>
        <v>184.08</v>
      </c>
      <c r="CT15" s="17">
        <f t="shared" si="20"/>
        <v>688.92</v>
      </c>
    </row>
    <row r="16" spans="1:98" ht="15" customHeight="1">
      <c r="A16" s="8">
        <v>11</v>
      </c>
      <c r="B16" s="9" t="s">
        <v>33</v>
      </c>
      <c r="C16" s="10">
        <v>15634</v>
      </c>
      <c r="D16" s="10">
        <v>9243.4</v>
      </c>
      <c r="E16" s="10">
        <v>2657.2</v>
      </c>
      <c r="F16" s="11">
        <v>11873.8</v>
      </c>
      <c r="G16" s="11">
        <v>121316.8</v>
      </c>
      <c r="H16" s="11">
        <f>74081.39-69523.26</f>
        <v>4558.130000000005</v>
      </c>
      <c r="I16" s="11">
        <v>69523.26</v>
      </c>
      <c r="J16" s="11">
        <f t="shared" si="0"/>
        <v>74081.39</v>
      </c>
      <c r="K16" s="11">
        <f t="shared" si="1"/>
        <v>136950.8</v>
      </c>
      <c r="L16" s="10">
        <f t="shared" si="1"/>
        <v>13801.530000000004</v>
      </c>
      <c r="M16" s="10">
        <f t="shared" si="1"/>
        <v>72180.45999999999</v>
      </c>
      <c r="N16" s="12">
        <f t="shared" si="1"/>
        <v>85955.19</v>
      </c>
      <c r="O16" s="12">
        <v>12604.9</v>
      </c>
      <c r="P16" s="13">
        <v>6514.8</v>
      </c>
      <c r="Q16" s="12"/>
      <c r="R16" s="13">
        <f t="shared" si="2"/>
        <v>6514.8</v>
      </c>
      <c r="S16" s="13">
        <v>210000</v>
      </c>
      <c r="T16" s="13">
        <v>9385.03</v>
      </c>
      <c r="U16" s="13">
        <v>31859.52</v>
      </c>
      <c r="V16" s="13">
        <f t="shared" si="3"/>
        <v>41244.55</v>
      </c>
      <c r="W16" s="13">
        <f t="shared" si="4"/>
        <v>222604.9</v>
      </c>
      <c r="X16" s="12">
        <f t="shared" si="4"/>
        <v>15899.830000000002</v>
      </c>
      <c r="Y16" s="12">
        <f t="shared" si="4"/>
        <v>31859.52</v>
      </c>
      <c r="Z16" s="12">
        <f t="shared" si="4"/>
        <v>47759.350000000006</v>
      </c>
      <c r="AA16" s="12">
        <v>15127.5</v>
      </c>
      <c r="AB16" s="13">
        <f>4077.6+4181.1-1999.8</f>
        <v>6258.900000000001</v>
      </c>
      <c r="AC16" s="12">
        <f>1500+499.8</f>
        <v>1999.8</v>
      </c>
      <c r="AD16" s="13">
        <f t="shared" si="5"/>
        <v>8258.7</v>
      </c>
      <c r="AE16" s="13">
        <v>108039</v>
      </c>
      <c r="AF16" s="13">
        <f>6872.1-2420.4</f>
        <v>4451.700000000001</v>
      </c>
      <c r="AG16" s="13">
        <v>2420.4</v>
      </c>
      <c r="AH16" s="13">
        <f t="shared" si="6"/>
        <v>6872.1</v>
      </c>
      <c r="AI16" s="13">
        <f t="shared" si="7"/>
        <v>123166.5</v>
      </c>
      <c r="AJ16" s="12">
        <f t="shared" si="7"/>
        <v>10710.600000000002</v>
      </c>
      <c r="AK16" s="12">
        <f t="shared" si="7"/>
        <v>4420.2</v>
      </c>
      <c r="AL16" s="12">
        <f t="shared" si="7"/>
        <v>15130.800000000001</v>
      </c>
      <c r="AM16" s="12">
        <v>7910</v>
      </c>
      <c r="AN16" s="13">
        <v>1430.1</v>
      </c>
      <c r="AO16" s="12"/>
      <c r="AP16" s="13">
        <f t="shared" si="13"/>
        <v>1430.1</v>
      </c>
      <c r="AQ16" s="13">
        <v>40932</v>
      </c>
      <c r="AR16" s="13">
        <f>28163.11-19858.71</f>
        <v>8304.400000000001</v>
      </c>
      <c r="AS16" s="13">
        <v>19858.41</v>
      </c>
      <c r="AT16" s="13">
        <f t="shared" si="8"/>
        <v>28162.81</v>
      </c>
      <c r="AU16" s="13">
        <f t="shared" si="9"/>
        <v>48842</v>
      </c>
      <c r="AV16" s="12">
        <f t="shared" si="9"/>
        <v>9734.500000000002</v>
      </c>
      <c r="AW16" s="12">
        <f t="shared" si="9"/>
        <v>19858.41</v>
      </c>
      <c r="AX16" s="12">
        <f t="shared" si="9"/>
        <v>29592.91</v>
      </c>
      <c r="AY16" s="14">
        <v>3764</v>
      </c>
      <c r="AZ16" s="13">
        <v>7119</v>
      </c>
      <c r="BA16" s="13"/>
      <c r="BB16" s="13">
        <v>7119</v>
      </c>
      <c r="BC16" s="13">
        <v>30000</v>
      </c>
      <c r="BD16" s="13">
        <f>BF16</f>
        <v>12892.8</v>
      </c>
      <c r="BE16" s="13"/>
      <c r="BF16" s="13">
        <v>12892.8</v>
      </c>
      <c r="BG16" s="13">
        <f t="shared" si="10"/>
        <v>33764</v>
      </c>
      <c r="BH16" s="13">
        <f t="shared" si="10"/>
        <v>20011.8</v>
      </c>
      <c r="BI16" s="13">
        <f t="shared" si="10"/>
        <v>0</v>
      </c>
      <c r="BJ16" s="15">
        <f t="shared" si="10"/>
        <v>20011.8</v>
      </c>
      <c r="BK16" s="16">
        <f>203+116+142+25+281+350+360+57+31+16+13+43+16+58+23+884+70+56+246</f>
        <v>2990</v>
      </c>
      <c r="BL16" s="13">
        <v>2323.2</v>
      </c>
      <c r="BM16" s="12"/>
      <c r="BN16" s="13">
        <f t="shared" si="14"/>
        <v>2323.2</v>
      </c>
      <c r="BO16" s="13">
        <v>84703</v>
      </c>
      <c r="BP16" s="13">
        <v>6376</v>
      </c>
      <c r="BQ16" s="13">
        <v>9189.3</v>
      </c>
      <c r="BR16" s="13">
        <f t="shared" si="22"/>
        <v>15565.3</v>
      </c>
      <c r="BS16" s="13">
        <f t="shared" si="11"/>
        <v>87693</v>
      </c>
      <c r="BT16" s="13">
        <f t="shared" si="11"/>
        <v>8699.2</v>
      </c>
      <c r="BU16" s="13">
        <f t="shared" si="11"/>
        <v>9189.3</v>
      </c>
      <c r="BV16" s="17">
        <f t="shared" si="11"/>
        <v>17888.5</v>
      </c>
      <c r="BW16" s="16">
        <v>5994</v>
      </c>
      <c r="BX16" s="13">
        <v>2679.1</v>
      </c>
      <c r="BY16" s="12"/>
      <c r="BZ16" s="13">
        <f t="shared" si="15"/>
        <v>2679.1</v>
      </c>
      <c r="CA16" s="13">
        <v>57662.3</v>
      </c>
      <c r="CB16" s="13">
        <f>21672.3-12633.78</f>
        <v>9038.519999999999</v>
      </c>
      <c r="CC16" s="13">
        <v>12633.78</v>
      </c>
      <c r="CD16" s="13">
        <f t="shared" si="16"/>
        <v>21672.3</v>
      </c>
      <c r="CE16" s="13">
        <f t="shared" si="12"/>
        <v>63656.3</v>
      </c>
      <c r="CF16" s="13">
        <f t="shared" si="12"/>
        <v>11717.619999999999</v>
      </c>
      <c r="CG16" s="13">
        <f t="shared" si="12"/>
        <v>12633.78</v>
      </c>
      <c r="CH16" s="17">
        <f t="shared" si="12"/>
        <v>24351.399999999998</v>
      </c>
      <c r="CI16" s="16">
        <v>4571</v>
      </c>
      <c r="CJ16" s="13">
        <f>891.6+60+462.9</f>
        <v>1414.5</v>
      </c>
      <c r="CK16" s="12"/>
      <c r="CL16" s="13">
        <f t="shared" si="17"/>
        <v>1414.5</v>
      </c>
      <c r="CM16" s="13">
        <v>17500</v>
      </c>
      <c r="CN16" s="13">
        <f>2361.75</f>
        <v>2361.75</v>
      </c>
      <c r="CO16" s="13">
        <f>4159+6100-12620.75+14131.35</f>
        <v>11769.6</v>
      </c>
      <c r="CP16" s="13">
        <f t="shared" si="18"/>
        <v>14131.35</v>
      </c>
      <c r="CQ16" s="13">
        <f t="shared" si="19"/>
        <v>22071</v>
      </c>
      <c r="CR16" s="13">
        <f t="shared" si="19"/>
        <v>3776.25</v>
      </c>
      <c r="CS16" s="13">
        <f t="shared" si="19"/>
        <v>11769.6</v>
      </c>
      <c r="CT16" s="17">
        <f t="shared" si="20"/>
        <v>15545.85</v>
      </c>
    </row>
    <row r="17" spans="1:98" ht="15" customHeight="1">
      <c r="A17" s="8">
        <v>12</v>
      </c>
      <c r="B17" s="9" t="s">
        <v>34</v>
      </c>
      <c r="C17" s="10">
        <v>0</v>
      </c>
      <c r="D17" s="10">
        <v>0</v>
      </c>
      <c r="E17" s="10">
        <f t="shared" si="21"/>
        <v>0</v>
      </c>
      <c r="F17" s="10">
        <v>0</v>
      </c>
      <c r="G17" s="11">
        <v>217.2</v>
      </c>
      <c r="H17" s="11"/>
      <c r="I17" s="11"/>
      <c r="J17" s="11">
        <f t="shared" si="0"/>
        <v>0</v>
      </c>
      <c r="K17" s="11">
        <f t="shared" si="1"/>
        <v>217.2</v>
      </c>
      <c r="L17" s="10">
        <f t="shared" si="1"/>
        <v>0</v>
      </c>
      <c r="M17" s="10">
        <f t="shared" si="1"/>
        <v>0</v>
      </c>
      <c r="N17" s="12">
        <f t="shared" si="1"/>
        <v>0</v>
      </c>
      <c r="O17" s="12"/>
      <c r="P17" s="12"/>
      <c r="Q17" s="12"/>
      <c r="R17" s="13">
        <f t="shared" si="2"/>
        <v>0</v>
      </c>
      <c r="S17" s="13"/>
      <c r="T17" s="13"/>
      <c r="U17" s="13"/>
      <c r="V17" s="13"/>
      <c r="W17" s="13">
        <f t="shared" si="4"/>
        <v>0</v>
      </c>
      <c r="X17" s="12">
        <f t="shared" si="4"/>
        <v>0</v>
      </c>
      <c r="Y17" s="12">
        <f t="shared" si="4"/>
        <v>0</v>
      </c>
      <c r="Z17" s="12">
        <f t="shared" si="4"/>
        <v>0</v>
      </c>
      <c r="AA17" s="12"/>
      <c r="AB17" s="12"/>
      <c r="AC17" s="12"/>
      <c r="AD17" s="13">
        <f t="shared" si="5"/>
        <v>0</v>
      </c>
      <c r="AE17" s="13">
        <v>138.6</v>
      </c>
      <c r="AF17" s="13"/>
      <c r="AG17" s="13"/>
      <c r="AH17" s="13">
        <f t="shared" si="6"/>
        <v>0</v>
      </c>
      <c r="AI17" s="13">
        <f t="shared" si="7"/>
        <v>138.6</v>
      </c>
      <c r="AJ17" s="12">
        <f t="shared" si="7"/>
        <v>0</v>
      </c>
      <c r="AK17" s="12">
        <f t="shared" si="7"/>
        <v>0</v>
      </c>
      <c r="AL17" s="12">
        <f t="shared" si="7"/>
        <v>0</v>
      </c>
      <c r="AM17" s="12"/>
      <c r="AN17" s="12"/>
      <c r="AO17" s="12"/>
      <c r="AP17" s="13">
        <f t="shared" si="13"/>
        <v>0</v>
      </c>
      <c r="AQ17" s="13"/>
      <c r="AR17" s="13"/>
      <c r="AS17" s="13"/>
      <c r="AT17" s="13">
        <f t="shared" si="8"/>
        <v>0</v>
      </c>
      <c r="AU17" s="13">
        <f t="shared" si="9"/>
        <v>0</v>
      </c>
      <c r="AV17" s="12">
        <f t="shared" si="9"/>
        <v>0</v>
      </c>
      <c r="AW17" s="12">
        <f t="shared" si="9"/>
        <v>0</v>
      </c>
      <c r="AX17" s="12">
        <f t="shared" si="9"/>
        <v>0</v>
      </c>
      <c r="AY17" s="14">
        <v>7.9</v>
      </c>
      <c r="AZ17" s="13"/>
      <c r="BA17" s="13"/>
      <c r="BB17" s="13"/>
      <c r="BC17" s="13">
        <v>50.05</v>
      </c>
      <c r="BD17" s="13"/>
      <c r="BE17" s="13"/>
      <c r="BF17" s="13"/>
      <c r="BG17" s="13">
        <f t="shared" si="10"/>
        <v>57.949999999999996</v>
      </c>
      <c r="BH17" s="13">
        <f t="shared" si="10"/>
        <v>0</v>
      </c>
      <c r="BI17" s="13">
        <f t="shared" si="10"/>
        <v>0</v>
      </c>
      <c r="BJ17" s="15">
        <f t="shared" si="10"/>
        <v>0</v>
      </c>
      <c r="BK17" s="16"/>
      <c r="BL17" s="12"/>
      <c r="BM17" s="12"/>
      <c r="BN17" s="13">
        <f t="shared" si="14"/>
        <v>0</v>
      </c>
      <c r="BO17" s="13">
        <v>405.3</v>
      </c>
      <c r="BP17" s="13"/>
      <c r="BQ17" s="13">
        <v>32.88</v>
      </c>
      <c r="BR17" s="13">
        <f t="shared" si="22"/>
        <v>32.88</v>
      </c>
      <c r="BS17" s="13">
        <f t="shared" si="11"/>
        <v>405.3</v>
      </c>
      <c r="BT17" s="13">
        <f t="shared" si="11"/>
        <v>0</v>
      </c>
      <c r="BU17" s="13">
        <f t="shared" si="11"/>
        <v>32.88</v>
      </c>
      <c r="BV17" s="17">
        <f t="shared" si="11"/>
        <v>32.88</v>
      </c>
      <c r="BW17" s="16">
        <v>10.2</v>
      </c>
      <c r="BX17" s="12">
        <v>0</v>
      </c>
      <c r="BY17" s="12"/>
      <c r="BZ17" s="13">
        <f t="shared" si="15"/>
        <v>0</v>
      </c>
      <c r="CA17" s="13">
        <v>367.06</v>
      </c>
      <c r="CB17" s="13"/>
      <c r="CC17" s="13">
        <v>471.42</v>
      </c>
      <c r="CD17" s="13">
        <f t="shared" si="16"/>
        <v>471.42</v>
      </c>
      <c r="CE17" s="13">
        <f t="shared" si="12"/>
        <v>377.26</v>
      </c>
      <c r="CF17" s="13">
        <f t="shared" si="12"/>
        <v>0</v>
      </c>
      <c r="CG17" s="13">
        <f t="shared" si="12"/>
        <v>471.42</v>
      </c>
      <c r="CH17" s="17">
        <f t="shared" si="12"/>
        <v>471.42</v>
      </c>
      <c r="CI17" s="16"/>
      <c r="CJ17" s="12"/>
      <c r="CK17" s="12"/>
      <c r="CL17" s="13">
        <f t="shared" si="17"/>
        <v>0</v>
      </c>
      <c r="CM17" s="13">
        <v>400</v>
      </c>
      <c r="CN17" s="13"/>
      <c r="CO17" s="13">
        <v>238.15</v>
      </c>
      <c r="CP17" s="13">
        <f t="shared" si="18"/>
        <v>238.15</v>
      </c>
      <c r="CQ17" s="13">
        <f t="shared" si="19"/>
        <v>400</v>
      </c>
      <c r="CR17" s="13">
        <f t="shared" si="19"/>
        <v>0</v>
      </c>
      <c r="CS17" s="13">
        <f t="shared" si="19"/>
        <v>238.15</v>
      </c>
      <c r="CT17" s="17">
        <f t="shared" si="20"/>
        <v>238.15</v>
      </c>
    </row>
    <row r="18" spans="1:98" ht="15" customHeight="1" hidden="1">
      <c r="A18" s="8">
        <v>14</v>
      </c>
      <c r="B18" s="9" t="s">
        <v>35</v>
      </c>
      <c r="C18" s="10">
        <v>0</v>
      </c>
      <c r="D18" s="10">
        <v>0</v>
      </c>
      <c r="E18" s="10">
        <f t="shared" si="21"/>
        <v>0</v>
      </c>
      <c r="F18" s="10">
        <v>0</v>
      </c>
      <c r="G18" s="11">
        <v>0</v>
      </c>
      <c r="H18" s="11"/>
      <c r="I18" s="11"/>
      <c r="J18" s="11">
        <f t="shared" si="0"/>
        <v>0</v>
      </c>
      <c r="K18" s="11">
        <f t="shared" si="1"/>
        <v>0</v>
      </c>
      <c r="L18" s="10">
        <f t="shared" si="1"/>
        <v>0</v>
      </c>
      <c r="M18" s="10">
        <f t="shared" si="1"/>
        <v>0</v>
      </c>
      <c r="N18" s="12">
        <f t="shared" si="1"/>
        <v>0</v>
      </c>
      <c r="O18" s="12"/>
      <c r="P18" s="12"/>
      <c r="Q18" s="12"/>
      <c r="R18" s="13">
        <f t="shared" si="2"/>
        <v>0</v>
      </c>
      <c r="S18" s="13"/>
      <c r="T18" s="13"/>
      <c r="U18" s="13"/>
      <c r="V18" s="13"/>
      <c r="W18" s="13">
        <f t="shared" si="4"/>
        <v>0</v>
      </c>
      <c r="X18" s="12">
        <f t="shared" si="4"/>
        <v>0</v>
      </c>
      <c r="Y18" s="12">
        <f t="shared" si="4"/>
        <v>0</v>
      </c>
      <c r="Z18" s="12">
        <f t="shared" si="4"/>
        <v>0</v>
      </c>
      <c r="AA18" s="12"/>
      <c r="AB18" s="12"/>
      <c r="AC18" s="12"/>
      <c r="AD18" s="13">
        <f t="shared" si="5"/>
        <v>0</v>
      </c>
      <c r="AE18" s="13"/>
      <c r="AF18" s="13"/>
      <c r="AG18" s="13"/>
      <c r="AH18" s="13">
        <f t="shared" si="6"/>
        <v>0</v>
      </c>
      <c r="AI18" s="13">
        <f t="shared" si="7"/>
        <v>0</v>
      </c>
      <c r="AJ18" s="12">
        <f t="shared" si="7"/>
        <v>0</v>
      </c>
      <c r="AK18" s="12">
        <f t="shared" si="7"/>
        <v>0</v>
      </c>
      <c r="AL18" s="12">
        <f t="shared" si="7"/>
        <v>0</v>
      </c>
      <c r="AM18" s="12"/>
      <c r="AN18" s="12"/>
      <c r="AO18" s="12"/>
      <c r="AP18" s="13">
        <f t="shared" si="13"/>
        <v>0</v>
      </c>
      <c r="AQ18" s="13"/>
      <c r="AR18" s="13"/>
      <c r="AS18" s="13"/>
      <c r="AT18" s="13">
        <f t="shared" si="8"/>
        <v>0</v>
      </c>
      <c r="AU18" s="13">
        <f t="shared" si="9"/>
        <v>0</v>
      </c>
      <c r="AV18" s="12">
        <f t="shared" si="9"/>
        <v>0</v>
      </c>
      <c r="AW18" s="12">
        <f t="shared" si="9"/>
        <v>0</v>
      </c>
      <c r="AX18" s="12">
        <f t="shared" si="9"/>
        <v>0</v>
      </c>
      <c r="AY18" s="14"/>
      <c r="AZ18" s="13"/>
      <c r="BA18" s="13"/>
      <c r="BB18" s="13"/>
      <c r="BC18" s="13"/>
      <c r="BD18" s="13"/>
      <c r="BE18" s="13"/>
      <c r="BF18" s="13"/>
      <c r="BG18" s="13">
        <f t="shared" si="10"/>
        <v>0</v>
      </c>
      <c r="BH18" s="13">
        <f t="shared" si="10"/>
        <v>0</v>
      </c>
      <c r="BI18" s="13">
        <f t="shared" si="10"/>
        <v>0</v>
      </c>
      <c r="BJ18" s="15">
        <f t="shared" si="10"/>
        <v>0</v>
      </c>
      <c r="BK18" s="16"/>
      <c r="BL18" s="12"/>
      <c r="BM18" s="12"/>
      <c r="BN18" s="13">
        <f t="shared" si="14"/>
        <v>0</v>
      </c>
      <c r="BO18" s="13"/>
      <c r="BP18" s="13"/>
      <c r="BQ18" s="13"/>
      <c r="BR18" s="13"/>
      <c r="BS18" s="13">
        <f t="shared" si="11"/>
        <v>0</v>
      </c>
      <c r="BT18" s="13">
        <f t="shared" si="11"/>
        <v>0</v>
      </c>
      <c r="BU18" s="13">
        <f t="shared" si="11"/>
        <v>0</v>
      </c>
      <c r="BV18" s="17">
        <f t="shared" si="11"/>
        <v>0</v>
      </c>
      <c r="BW18" s="16"/>
      <c r="BX18" s="12">
        <v>0</v>
      </c>
      <c r="BY18" s="12"/>
      <c r="BZ18" s="13">
        <f t="shared" si="15"/>
        <v>0</v>
      </c>
      <c r="CA18" s="13"/>
      <c r="CB18" s="13"/>
      <c r="CC18" s="13"/>
      <c r="CD18" s="13">
        <f t="shared" si="16"/>
        <v>0</v>
      </c>
      <c r="CE18" s="13">
        <f t="shared" si="12"/>
        <v>0</v>
      </c>
      <c r="CF18" s="13">
        <f t="shared" si="12"/>
        <v>0</v>
      </c>
      <c r="CG18" s="13">
        <f t="shared" si="12"/>
        <v>0</v>
      </c>
      <c r="CH18" s="17">
        <f t="shared" si="12"/>
        <v>0</v>
      </c>
      <c r="CI18" s="16"/>
      <c r="CJ18" s="12"/>
      <c r="CK18" s="12"/>
      <c r="CL18" s="13">
        <f t="shared" si="17"/>
        <v>0</v>
      </c>
      <c r="CM18" s="13"/>
      <c r="CN18" s="13"/>
      <c r="CO18" s="13"/>
      <c r="CP18" s="13">
        <f t="shared" si="18"/>
        <v>0</v>
      </c>
      <c r="CQ18" s="13">
        <f t="shared" si="19"/>
        <v>0</v>
      </c>
      <c r="CR18" s="13">
        <f t="shared" si="19"/>
        <v>0</v>
      </c>
      <c r="CS18" s="13">
        <f t="shared" si="19"/>
        <v>0</v>
      </c>
      <c r="CT18" s="17">
        <f t="shared" si="20"/>
        <v>0</v>
      </c>
    </row>
    <row r="19" spans="1:98" ht="15" customHeight="1">
      <c r="A19" s="8">
        <v>13</v>
      </c>
      <c r="B19" s="9" t="s">
        <v>36</v>
      </c>
      <c r="C19" s="10">
        <v>3.6</v>
      </c>
      <c r="D19" s="10">
        <v>2.16</v>
      </c>
      <c r="E19" s="10">
        <f t="shared" si="21"/>
        <v>0</v>
      </c>
      <c r="F19" s="10">
        <v>2.16</v>
      </c>
      <c r="G19" s="11">
        <v>0</v>
      </c>
      <c r="H19" s="11"/>
      <c r="I19" s="11"/>
      <c r="J19" s="11">
        <f t="shared" si="0"/>
        <v>0</v>
      </c>
      <c r="K19" s="11">
        <f t="shared" si="1"/>
        <v>3.6</v>
      </c>
      <c r="L19" s="10">
        <f t="shared" si="1"/>
        <v>2.16</v>
      </c>
      <c r="M19" s="10">
        <f t="shared" si="1"/>
        <v>0</v>
      </c>
      <c r="N19" s="12">
        <f t="shared" si="1"/>
        <v>2.16</v>
      </c>
      <c r="O19" s="12">
        <v>152.4</v>
      </c>
      <c r="P19" s="12">
        <v>48.54</v>
      </c>
      <c r="Q19" s="12"/>
      <c r="R19" s="13">
        <f t="shared" si="2"/>
        <v>48.54</v>
      </c>
      <c r="S19" s="13"/>
      <c r="T19" s="13"/>
      <c r="U19" s="13"/>
      <c r="V19" s="13"/>
      <c r="W19" s="13">
        <f t="shared" si="4"/>
        <v>152.4</v>
      </c>
      <c r="X19" s="12">
        <f t="shared" si="4"/>
        <v>48.54</v>
      </c>
      <c r="Y19" s="12">
        <f t="shared" si="4"/>
        <v>0</v>
      </c>
      <c r="Z19" s="12">
        <f t="shared" si="4"/>
        <v>48.54</v>
      </c>
      <c r="AA19" s="12">
        <v>24.9</v>
      </c>
      <c r="AB19" s="12">
        <v>31.5</v>
      </c>
      <c r="AC19" s="12"/>
      <c r="AD19" s="13">
        <f t="shared" si="5"/>
        <v>31.5</v>
      </c>
      <c r="AE19" s="13"/>
      <c r="AF19" s="13"/>
      <c r="AG19" s="13"/>
      <c r="AH19" s="13">
        <f t="shared" si="6"/>
        <v>0</v>
      </c>
      <c r="AI19" s="13">
        <f t="shared" si="7"/>
        <v>24.9</v>
      </c>
      <c r="AJ19" s="12">
        <f t="shared" si="7"/>
        <v>31.5</v>
      </c>
      <c r="AK19" s="12">
        <f t="shared" si="7"/>
        <v>0</v>
      </c>
      <c r="AL19" s="12">
        <f t="shared" si="7"/>
        <v>31.5</v>
      </c>
      <c r="AM19" s="12">
        <v>46</v>
      </c>
      <c r="AN19" s="12"/>
      <c r="AO19" s="12"/>
      <c r="AP19" s="13">
        <f t="shared" si="13"/>
        <v>0</v>
      </c>
      <c r="AQ19" s="13"/>
      <c r="AR19" s="13"/>
      <c r="AS19" s="13"/>
      <c r="AT19" s="13">
        <f t="shared" si="8"/>
        <v>0</v>
      </c>
      <c r="AU19" s="13">
        <f t="shared" si="9"/>
        <v>46</v>
      </c>
      <c r="AV19" s="12">
        <f t="shared" si="9"/>
        <v>0</v>
      </c>
      <c r="AW19" s="12">
        <f t="shared" si="9"/>
        <v>0</v>
      </c>
      <c r="AX19" s="12">
        <f t="shared" si="9"/>
        <v>0</v>
      </c>
      <c r="AY19" s="14">
        <v>157.3</v>
      </c>
      <c r="AZ19" s="13">
        <v>4</v>
      </c>
      <c r="BA19" s="13"/>
      <c r="BB19" s="13">
        <v>4</v>
      </c>
      <c r="BC19" s="13"/>
      <c r="BD19" s="13"/>
      <c r="BE19" s="13"/>
      <c r="BF19" s="13"/>
      <c r="BG19" s="13">
        <f t="shared" si="10"/>
        <v>157.3</v>
      </c>
      <c r="BH19" s="13">
        <f t="shared" si="10"/>
        <v>4</v>
      </c>
      <c r="BI19" s="13">
        <f t="shared" si="10"/>
        <v>0</v>
      </c>
      <c r="BJ19" s="15">
        <f t="shared" si="10"/>
        <v>4</v>
      </c>
      <c r="BK19" s="16">
        <v>137.8</v>
      </c>
      <c r="BL19" s="12"/>
      <c r="BM19" s="12"/>
      <c r="BN19" s="13">
        <f t="shared" si="14"/>
        <v>0</v>
      </c>
      <c r="BO19" s="13"/>
      <c r="BP19" s="13"/>
      <c r="BQ19" s="13"/>
      <c r="BR19" s="13"/>
      <c r="BS19" s="13">
        <f t="shared" si="11"/>
        <v>137.8</v>
      </c>
      <c r="BT19" s="13">
        <f t="shared" si="11"/>
        <v>0</v>
      </c>
      <c r="BU19" s="13">
        <f t="shared" si="11"/>
        <v>0</v>
      </c>
      <c r="BV19" s="17">
        <f t="shared" si="11"/>
        <v>0</v>
      </c>
      <c r="BW19" s="16">
        <v>31</v>
      </c>
      <c r="BX19" s="12">
        <v>16.22</v>
      </c>
      <c r="BY19" s="12"/>
      <c r="BZ19" s="13">
        <f t="shared" si="15"/>
        <v>16.22</v>
      </c>
      <c r="CA19" s="13"/>
      <c r="CB19" s="13"/>
      <c r="CC19" s="13"/>
      <c r="CD19" s="13">
        <f t="shared" si="16"/>
        <v>0</v>
      </c>
      <c r="CE19" s="13">
        <f t="shared" si="12"/>
        <v>31</v>
      </c>
      <c r="CF19" s="13">
        <f t="shared" si="12"/>
        <v>16.22</v>
      </c>
      <c r="CG19" s="13">
        <f t="shared" si="12"/>
        <v>0</v>
      </c>
      <c r="CH19" s="17">
        <f t="shared" si="12"/>
        <v>16.22</v>
      </c>
      <c r="CI19" s="16">
        <v>35</v>
      </c>
      <c r="CJ19" s="12">
        <v>14</v>
      </c>
      <c r="CK19" s="12"/>
      <c r="CL19" s="13">
        <f t="shared" si="17"/>
        <v>14</v>
      </c>
      <c r="CM19" s="13"/>
      <c r="CN19" s="13"/>
      <c r="CO19" s="13"/>
      <c r="CP19" s="13">
        <f t="shared" si="18"/>
        <v>0</v>
      </c>
      <c r="CQ19" s="13">
        <f t="shared" si="19"/>
        <v>35</v>
      </c>
      <c r="CR19" s="13">
        <f t="shared" si="19"/>
        <v>14</v>
      </c>
      <c r="CS19" s="13">
        <f t="shared" si="19"/>
        <v>0</v>
      </c>
      <c r="CT19" s="17">
        <f t="shared" si="20"/>
        <v>14</v>
      </c>
    </row>
    <row r="20" spans="1:98" ht="15" customHeight="1">
      <c r="A20" s="8">
        <v>14</v>
      </c>
      <c r="B20" s="9" t="s">
        <v>37</v>
      </c>
      <c r="C20" s="10">
        <v>310.2</v>
      </c>
      <c r="D20" s="10">
        <v>0</v>
      </c>
      <c r="E20" s="10">
        <f t="shared" si="21"/>
        <v>308.06</v>
      </c>
      <c r="F20" s="11">
        <v>308.06</v>
      </c>
      <c r="G20" s="11">
        <v>0</v>
      </c>
      <c r="H20" s="11"/>
      <c r="I20" s="11"/>
      <c r="J20" s="11">
        <f t="shared" si="0"/>
        <v>0</v>
      </c>
      <c r="K20" s="11">
        <f t="shared" si="1"/>
        <v>310.2</v>
      </c>
      <c r="L20" s="10">
        <f t="shared" si="1"/>
        <v>0</v>
      </c>
      <c r="M20" s="10">
        <f t="shared" si="1"/>
        <v>308.06</v>
      </c>
      <c r="N20" s="12">
        <f t="shared" si="1"/>
        <v>308.06</v>
      </c>
      <c r="O20" s="12">
        <v>255.6</v>
      </c>
      <c r="P20" s="12"/>
      <c r="Q20" s="12">
        <v>174.81</v>
      </c>
      <c r="R20" s="13">
        <f t="shared" si="2"/>
        <v>174.81</v>
      </c>
      <c r="S20" s="13"/>
      <c r="T20" s="13"/>
      <c r="U20" s="13"/>
      <c r="V20" s="13"/>
      <c r="W20" s="13">
        <f t="shared" si="4"/>
        <v>255.6</v>
      </c>
      <c r="X20" s="12">
        <f t="shared" si="4"/>
        <v>0</v>
      </c>
      <c r="Y20" s="12">
        <f t="shared" si="4"/>
        <v>174.81</v>
      </c>
      <c r="Z20" s="12">
        <f t="shared" si="4"/>
        <v>174.81</v>
      </c>
      <c r="AA20" s="12">
        <v>300</v>
      </c>
      <c r="AB20" s="12"/>
      <c r="AC20" s="12"/>
      <c r="AD20" s="13">
        <f t="shared" si="5"/>
        <v>0</v>
      </c>
      <c r="AE20" s="13"/>
      <c r="AF20" s="13"/>
      <c r="AG20" s="13"/>
      <c r="AH20" s="13">
        <f t="shared" si="6"/>
        <v>0</v>
      </c>
      <c r="AI20" s="13">
        <f t="shared" si="7"/>
        <v>300</v>
      </c>
      <c r="AJ20" s="12">
        <f t="shared" si="7"/>
        <v>0</v>
      </c>
      <c r="AK20" s="12">
        <f t="shared" si="7"/>
        <v>0</v>
      </c>
      <c r="AL20" s="12">
        <f t="shared" si="7"/>
        <v>0</v>
      </c>
      <c r="AM20" s="12">
        <v>276.5</v>
      </c>
      <c r="AN20" s="12"/>
      <c r="AO20" s="12">
        <v>99.96</v>
      </c>
      <c r="AP20" s="13">
        <f t="shared" si="13"/>
        <v>99.96</v>
      </c>
      <c r="AQ20" s="13"/>
      <c r="AR20" s="13"/>
      <c r="AS20" s="13"/>
      <c r="AT20" s="13">
        <f t="shared" si="8"/>
        <v>0</v>
      </c>
      <c r="AU20" s="13">
        <f t="shared" si="9"/>
        <v>276.5</v>
      </c>
      <c r="AV20" s="12">
        <f t="shared" si="9"/>
        <v>0</v>
      </c>
      <c r="AW20" s="12">
        <f t="shared" si="9"/>
        <v>99.96</v>
      </c>
      <c r="AX20" s="12">
        <f t="shared" si="9"/>
        <v>99.96</v>
      </c>
      <c r="AY20" s="14">
        <v>253.5</v>
      </c>
      <c r="AZ20" s="13"/>
      <c r="BA20" s="13"/>
      <c r="BB20" s="13"/>
      <c r="BC20" s="13"/>
      <c r="BD20" s="13"/>
      <c r="BE20" s="13"/>
      <c r="BF20" s="13"/>
      <c r="BG20" s="13">
        <f t="shared" si="10"/>
        <v>253.5</v>
      </c>
      <c r="BH20" s="13">
        <f t="shared" si="10"/>
        <v>0</v>
      </c>
      <c r="BI20" s="13">
        <f t="shared" si="10"/>
        <v>0</v>
      </c>
      <c r="BJ20" s="15">
        <f t="shared" si="10"/>
        <v>0</v>
      </c>
      <c r="BK20" s="16">
        <f>36+18+60+59+60</f>
        <v>233</v>
      </c>
      <c r="BL20" s="12"/>
      <c r="BM20" s="12">
        <v>48.75</v>
      </c>
      <c r="BN20" s="13">
        <f t="shared" si="14"/>
        <v>48.75</v>
      </c>
      <c r="BO20" s="13"/>
      <c r="BP20" s="13"/>
      <c r="BQ20" s="13"/>
      <c r="BR20" s="13"/>
      <c r="BS20" s="13">
        <f t="shared" si="11"/>
        <v>233</v>
      </c>
      <c r="BT20" s="13">
        <f t="shared" si="11"/>
        <v>0</v>
      </c>
      <c r="BU20" s="13">
        <f t="shared" si="11"/>
        <v>48.75</v>
      </c>
      <c r="BV20" s="17">
        <f t="shared" si="11"/>
        <v>48.75</v>
      </c>
      <c r="BW20" s="16">
        <v>205</v>
      </c>
      <c r="BX20" s="12">
        <v>0</v>
      </c>
      <c r="BY20" s="12">
        <v>85.84</v>
      </c>
      <c r="BZ20" s="13">
        <f t="shared" si="15"/>
        <v>85.84</v>
      </c>
      <c r="CA20" s="13"/>
      <c r="CB20" s="13"/>
      <c r="CC20" s="13"/>
      <c r="CD20" s="13">
        <f t="shared" si="16"/>
        <v>0</v>
      </c>
      <c r="CE20" s="13">
        <f t="shared" si="12"/>
        <v>205</v>
      </c>
      <c r="CF20" s="13">
        <f t="shared" si="12"/>
        <v>0</v>
      </c>
      <c r="CG20" s="13">
        <f t="shared" si="12"/>
        <v>85.84</v>
      </c>
      <c r="CH20" s="17">
        <f t="shared" si="12"/>
        <v>85.84</v>
      </c>
      <c r="CI20" s="16">
        <v>163</v>
      </c>
      <c r="CJ20" s="12"/>
      <c r="CK20" s="12">
        <v>39.44</v>
      </c>
      <c r="CL20" s="13">
        <f t="shared" si="17"/>
        <v>39.44</v>
      </c>
      <c r="CM20" s="13"/>
      <c r="CN20" s="13"/>
      <c r="CO20" s="13"/>
      <c r="CP20" s="13">
        <f t="shared" si="18"/>
        <v>0</v>
      </c>
      <c r="CQ20" s="13">
        <f t="shared" si="19"/>
        <v>163</v>
      </c>
      <c r="CR20" s="13">
        <f t="shared" si="19"/>
        <v>0</v>
      </c>
      <c r="CS20" s="13">
        <f t="shared" si="19"/>
        <v>39.44</v>
      </c>
      <c r="CT20" s="17">
        <f t="shared" si="20"/>
        <v>39.44</v>
      </c>
    </row>
    <row r="21" spans="1:98" ht="15" customHeight="1">
      <c r="A21" s="8">
        <v>15</v>
      </c>
      <c r="B21" s="9" t="s">
        <v>38</v>
      </c>
      <c r="C21" s="10">
        <v>562.5</v>
      </c>
      <c r="D21" s="10">
        <v>0</v>
      </c>
      <c r="E21" s="10">
        <f t="shared" si="21"/>
        <v>480.3</v>
      </c>
      <c r="F21" s="10">
        <v>480.3</v>
      </c>
      <c r="G21" s="11">
        <v>0</v>
      </c>
      <c r="H21" s="11"/>
      <c r="I21" s="11"/>
      <c r="J21" s="11">
        <f t="shared" si="0"/>
        <v>0</v>
      </c>
      <c r="K21" s="11">
        <f t="shared" si="1"/>
        <v>562.5</v>
      </c>
      <c r="L21" s="10">
        <f t="shared" si="1"/>
        <v>0</v>
      </c>
      <c r="M21" s="10">
        <f t="shared" si="1"/>
        <v>480.3</v>
      </c>
      <c r="N21" s="12">
        <f t="shared" si="1"/>
        <v>480.3</v>
      </c>
      <c r="O21" s="12"/>
      <c r="P21" s="12"/>
      <c r="Q21" s="12"/>
      <c r="R21" s="13">
        <f t="shared" si="2"/>
        <v>0</v>
      </c>
      <c r="S21" s="13"/>
      <c r="T21" s="13"/>
      <c r="U21" s="13"/>
      <c r="V21" s="13"/>
      <c r="W21" s="13">
        <f t="shared" si="4"/>
        <v>0</v>
      </c>
      <c r="X21" s="12">
        <f t="shared" si="4"/>
        <v>0</v>
      </c>
      <c r="Y21" s="12">
        <f t="shared" si="4"/>
        <v>0</v>
      </c>
      <c r="Z21" s="12">
        <f t="shared" si="4"/>
        <v>0</v>
      </c>
      <c r="AA21" s="12"/>
      <c r="AB21" s="12"/>
      <c r="AC21" s="12"/>
      <c r="AD21" s="13">
        <f t="shared" si="5"/>
        <v>0</v>
      </c>
      <c r="AE21" s="13"/>
      <c r="AF21" s="13"/>
      <c r="AG21" s="13"/>
      <c r="AH21" s="13">
        <f t="shared" si="6"/>
        <v>0</v>
      </c>
      <c r="AI21" s="13">
        <f t="shared" si="7"/>
        <v>0</v>
      </c>
      <c r="AJ21" s="12">
        <f t="shared" si="7"/>
        <v>0</v>
      </c>
      <c r="AK21" s="12">
        <f t="shared" si="7"/>
        <v>0</v>
      </c>
      <c r="AL21" s="12">
        <f t="shared" si="7"/>
        <v>0</v>
      </c>
      <c r="AM21" s="12"/>
      <c r="AN21" s="12"/>
      <c r="AO21" s="12"/>
      <c r="AP21" s="13">
        <f t="shared" si="13"/>
        <v>0</v>
      </c>
      <c r="AQ21" s="13"/>
      <c r="AR21" s="13"/>
      <c r="AS21" s="13"/>
      <c r="AT21" s="13">
        <f t="shared" si="8"/>
        <v>0</v>
      </c>
      <c r="AU21" s="13">
        <f t="shared" si="9"/>
        <v>0</v>
      </c>
      <c r="AV21" s="12">
        <f t="shared" si="9"/>
        <v>0</v>
      </c>
      <c r="AW21" s="12">
        <f t="shared" si="9"/>
        <v>0</v>
      </c>
      <c r="AX21" s="12">
        <f t="shared" si="9"/>
        <v>0</v>
      </c>
      <c r="AY21" s="14"/>
      <c r="AZ21" s="13"/>
      <c r="BA21" s="13"/>
      <c r="BB21" s="13"/>
      <c r="BC21" s="13"/>
      <c r="BD21" s="13"/>
      <c r="BE21" s="13"/>
      <c r="BF21" s="13"/>
      <c r="BG21" s="13">
        <f t="shared" si="10"/>
        <v>0</v>
      </c>
      <c r="BH21" s="13">
        <f t="shared" si="10"/>
        <v>0</v>
      </c>
      <c r="BI21" s="13">
        <f t="shared" si="10"/>
        <v>0</v>
      </c>
      <c r="BJ21" s="15">
        <f t="shared" si="10"/>
        <v>0</v>
      </c>
      <c r="BK21" s="16"/>
      <c r="BL21" s="12"/>
      <c r="BM21" s="12"/>
      <c r="BN21" s="13">
        <f t="shared" si="14"/>
        <v>0</v>
      </c>
      <c r="BO21" s="13"/>
      <c r="BP21" s="13"/>
      <c r="BQ21" s="13"/>
      <c r="BR21" s="13"/>
      <c r="BS21" s="13">
        <f t="shared" si="11"/>
        <v>0</v>
      </c>
      <c r="BT21" s="13">
        <f t="shared" si="11"/>
        <v>0</v>
      </c>
      <c r="BU21" s="13">
        <f t="shared" si="11"/>
        <v>0</v>
      </c>
      <c r="BV21" s="17">
        <f t="shared" si="11"/>
        <v>0</v>
      </c>
      <c r="BW21" s="16"/>
      <c r="BX21" s="12">
        <v>0</v>
      </c>
      <c r="BY21" s="12"/>
      <c r="BZ21" s="13">
        <f t="shared" si="15"/>
        <v>0</v>
      </c>
      <c r="CA21" s="13"/>
      <c r="CB21" s="13"/>
      <c r="CC21" s="13"/>
      <c r="CD21" s="13">
        <f t="shared" si="16"/>
        <v>0</v>
      </c>
      <c r="CE21" s="13">
        <f t="shared" si="12"/>
        <v>0</v>
      </c>
      <c r="CF21" s="13">
        <f t="shared" si="12"/>
        <v>0</v>
      </c>
      <c r="CG21" s="13">
        <f t="shared" si="12"/>
        <v>0</v>
      </c>
      <c r="CH21" s="17">
        <f t="shared" si="12"/>
        <v>0</v>
      </c>
      <c r="CI21" s="16">
        <v>148</v>
      </c>
      <c r="CJ21" s="12"/>
      <c r="CK21" s="12">
        <v>2</v>
      </c>
      <c r="CL21" s="13">
        <f t="shared" si="17"/>
        <v>2</v>
      </c>
      <c r="CM21" s="13"/>
      <c r="CN21" s="13"/>
      <c r="CO21" s="13"/>
      <c r="CP21" s="13">
        <f t="shared" si="18"/>
        <v>0</v>
      </c>
      <c r="CQ21" s="13"/>
      <c r="CR21" s="13">
        <f t="shared" si="19"/>
        <v>0</v>
      </c>
      <c r="CS21" s="13">
        <f t="shared" si="19"/>
        <v>2</v>
      </c>
      <c r="CT21" s="17">
        <f t="shared" si="20"/>
        <v>2</v>
      </c>
    </row>
    <row r="22" spans="1:98" ht="15" customHeight="1">
      <c r="A22" s="8">
        <v>16</v>
      </c>
      <c r="B22" s="9" t="s">
        <v>39</v>
      </c>
      <c r="C22" s="10">
        <v>4076</v>
      </c>
      <c r="D22" s="10">
        <v>0</v>
      </c>
      <c r="E22" s="10">
        <f t="shared" si="21"/>
        <v>2833.05</v>
      </c>
      <c r="F22" s="11">
        <v>2833.05</v>
      </c>
      <c r="G22" s="11">
        <v>0</v>
      </c>
      <c r="H22" s="11"/>
      <c r="I22" s="11"/>
      <c r="J22" s="11">
        <f t="shared" si="0"/>
        <v>0</v>
      </c>
      <c r="K22" s="11">
        <f t="shared" si="1"/>
        <v>4076</v>
      </c>
      <c r="L22" s="10">
        <f t="shared" si="1"/>
        <v>0</v>
      </c>
      <c r="M22" s="10">
        <f t="shared" si="1"/>
        <v>2833.05</v>
      </c>
      <c r="N22" s="12">
        <f t="shared" si="1"/>
        <v>2833.05</v>
      </c>
      <c r="O22" s="12">
        <v>4066.5</v>
      </c>
      <c r="P22" s="12"/>
      <c r="Q22" s="12">
        <v>3910.09</v>
      </c>
      <c r="R22" s="13">
        <f t="shared" si="2"/>
        <v>3910.09</v>
      </c>
      <c r="S22" s="13"/>
      <c r="T22" s="13"/>
      <c r="U22" s="13"/>
      <c r="V22" s="13"/>
      <c r="W22" s="13">
        <f t="shared" si="4"/>
        <v>4066.5</v>
      </c>
      <c r="X22" s="12">
        <f t="shared" si="4"/>
        <v>0</v>
      </c>
      <c r="Y22" s="12">
        <f t="shared" si="4"/>
        <v>3910.09</v>
      </c>
      <c r="Z22" s="12">
        <f t="shared" si="4"/>
        <v>3910.09</v>
      </c>
      <c r="AA22" s="12">
        <v>5600</v>
      </c>
      <c r="AB22" s="12">
        <v>7.4</v>
      </c>
      <c r="AC22" s="12">
        <v>600</v>
      </c>
      <c r="AD22" s="13">
        <f t="shared" si="5"/>
        <v>607.4</v>
      </c>
      <c r="AE22" s="13"/>
      <c r="AF22" s="13"/>
      <c r="AG22" s="13"/>
      <c r="AH22" s="13">
        <f t="shared" si="6"/>
        <v>0</v>
      </c>
      <c r="AI22" s="13">
        <f t="shared" si="7"/>
        <v>5600</v>
      </c>
      <c r="AJ22" s="12">
        <f t="shared" si="7"/>
        <v>7.4</v>
      </c>
      <c r="AK22" s="12">
        <f t="shared" si="7"/>
        <v>600</v>
      </c>
      <c r="AL22" s="12">
        <f t="shared" si="7"/>
        <v>607.4</v>
      </c>
      <c r="AM22" s="12">
        <v>5018.3</v>
      </c>
      <c r="AN22" s="12">
        <v>23.5</v>
      </c>
      <c r="AO22" s="12">
        <v>3399.8</v>
      </c>
      <c r="AP22" s="13">
        <f t="shared" si="13"/>
        <v>3423.3</v>
      </c>
      <c r="AQ22" s="13"/>
      <c r="AR22" s="13"/>
      <c r="AS22" s="13"/>
      <c r="AT22" s="13">
        <f t="shared" si="8"/>
        <v>0</v>
      </c>
      <c r="AU22" s="13">
        <f t="shared" si="9"/>
        <v>5018.3</v>
      </c>
      <c r="AV22" s="12">
        <f t="shared" si="9"/>
        <v>23.5</v>
      </c>
      <c r="AW22" s="12">
        <f t="shared" si="9"/>
        <v>3399.8</v>
      </c>
      <c r="AX22" s="12">
        <f t="shared" si="9"/>
        <v>3423.3</v>
      </c>
      <c r="AY22" s="14">
        <v>5619.2</v>
      </c>
      <c r="AZ22" s="13"/>
      <c r="BA22" s="13"/>
      <c r="BB22" s="13"/>
      <c r="BC22" s="13"/>
      <c r="BD22" s="13"/>
      <c r="BE22" s="13"/>
      <c r="BF22" s="13"/>
      <c r="BG22" s="13">
        <f t="shared" si="10"/>
        <v>5619.2</v>
      </c>
      <c r="BH22" s="13">
        <f t="shared" si="10"/>
        <v>0</v>
      </c>
      <c r="BI22" s="13">
        <f t="shared" si="10"/>
        <v>0</v>
      </c>
      <c r="BJ22" s="15">
        <f t="shared" si="10"/>
        <v>0</v>
      </c>
      <c r="BK22" s="16">
        <v>6164</v>
      </c>
      <c r="BL22" s="12">
        <v>2.6</v>
      </c>
      <c r="BM22" s="12">
        <v>4486.9</v>
      </c>
      <c r="BN22" s="13">
        <f t="shared" si="14"/>
        <v>4489.5</v>
      </c>
      <c r="BO22" s="13"/>
      <c r="BP22" s="13"/>
      <c r="BQ22" s="13"/>
      <c r="BR22" s="13"/>
      <c r="BS22" s="13">
        <f t="shared" si="11"/>
        <v>6164</v>
      </c>
      <c r="BT22" s="13">
        <f t="shared" si="11"/>
        <v>2.6</v>
      </c>
      <c r="BU22" s="13">
        <f t="shared" si="11"/>
        <v>4486.9</v>
      </c>
      <c r="BV22" s="17">
        <f t="shared" si="11"/>
        <v>4489.5</v>
      </c>
      <c r="BW22" s="16">
        <v>5956.5</v>
      </c>
      <c r="BX22" s="12">
        <v>0</v>
      </c>
      <c r="BY22" s="12">
        <v>9501.19</v>
      </c>
      <c r="BZ22" s="13">
        <f t="shared" si="15"/>
        <v>9501.19</v>
      </c>
      <c r="CA22" s="13"/>
      <c r="CB22" s="13"/>
      <c r="CC22" s="13"/>
      <c r="CD22" s="13">
        <f t="shared" si="16"/>
        <v>0</v>
      </c>
      <c r="CE22" s="13">
        <f t="shared" si="12"/>
        <v>5956.5</v>
      </c>
      <c r="CF22" s="13">
        <f t="shared" si="12"/>
        <v>0</v>
      </c>
      <c r="CG22" s="13">
        <f t="shared" si="12"/>
        <v>9501.19</v>
      </c>
      <c r="CH22" s="17">
        <f t="shared" si="12"/>
        <v>9501.19</v>
      </c>
      <c r="CI22" s="16">
        <f>15669.1+50</f>
        <v>15719.1</v>
      </c>
      <c r="CJ22" s="12"/>
      <c r="CK22" s="12">
        <f>14851.74+817.36</f>
        <v>15669.1</v>
      </c>
      <c r="CL22" s="13">
        <f t="shared" si="17"/>
        <v>15669.1</v>
      </c>
      <c r="CM22" s="13"/>
      <c r="CN22" s="13"/>
      <c r="CO22" s="13"/>
      <c r="CP22" s="13">
        <f t="shared" si="18"/>
        <v>0</v>
      </c>
      <c r="CQ22" s="13">
        <f aca="true" t="shared" si="23" ref="CQ22:CS23">CI22+CM22</f>
        <v>15719.1</v>
      </c>
      <c r="CR22" s="13">
        <f t="shared" si="23"/>
        <v>0</v>
      </c>
      <c r="CS22" s="13">
        <f t="shared" si="23"/>
        <v>15669.1</v>
      </c>
      <c r="CT22" s="17">
        <f t="shared" si="20"/>
        <v>15669.1</v>
      </c>
    </row>
    <row r="23" spans="1:98" ht="15" customHeight="1" hidden="1">
      <c r="A23" s="8">
        <v>20</v>
      </c>
      <c r="B23" s="9" t="s">
        <v>40</v>
      </c>
      <c r="C23" s="10"/>
      <c r="D23" s="10"/>
      <c r="E23" s="10"/>
      <c r="F23" s="11"/>
      <c r="G23" s="11"/>
      <c r="H23" s="11"/>
      <c r="I23" s="11"/>
      <c r="J23" s="11"/>
      <c r="K23" s="11"/>
      <c r="L23" s="10"/>
      <c r="M23" s="10"/>
      <c r="N23" s="12"/>
      <c r="O23" s="12"/>
      <c r="P23" s="12"/>
      <c r="Q23" s="12"/>
      <c r="R23" s="13"/>
      <c r="S23" s="13"/>
      <c r="T23" s="13"/>
      <c r="U23" s="13"/>
      <c r="V23" s="13"/>
      <c r="W23" s="13"/>
      <c r="X23" s="12"/>
      <c r="Y23" s="12"/>
      <c r="Z23" s="12"/>
      <c r="AA23" s="12"/>
      <c r="AB23" s="12"/>
      <c r="AC23" s="12"/>
      <c r="AD23" s="13"/>
      <c r="AE23" s="13"/>
      <c r="AF23" s="13"/>
      <c r="AG23" s="13"/>
      <c r="AH23" s="13"/>
      <c r="AI23" s="13"/>
      <c r="AJ23" s="12"/>
      <c r="AK23" s="12"/>
      <c r="AL23" s="12"/>
      <c r="AM23" s="12"/>
      <c r="AN23" s="12"/>
      <c r="AO23" s="12"/>
      <c r="AP23" s="13"/>
      <c r="AQ23" s="13"/>
      <c r="AR23" s="13"/>
      <c r="AS23" s="13"/>
      <c r="AT23" s="13"/>
      <c r="AU23" s="13"/>
      <c r="AV23" s="12"/>
      <c r="AW23" s="12"/>
      <c r="AX23" s="12"/>
      <c r="AY23" s="14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5"/>
      <c r="BK23" s="16"/>
      <c r="BL23" s="12"/>
      <c r="BM23" s="12"/>
      <c r="BN23" s="13"/>
      <c r="BO23" s="13"/>
      <c r="BP23" s="13"/>
      <c r="BQ23" s="13"/>
      <c r="BR23" s="13"/>
      <c r="BS23" s="13"/>
      <c r="BT23" s="13"/>
      <c r="BU23" s="13"/>
      <c r="BV23" s="17"/>
      <c r="BW23" s="16"/>
      <c r="BX23" s="12">
        <v>0</v>
      </c>
      <c r="BY23" s="12"/>
      <c r="BZ23" s="13"/>
      <c r="CA23" s="13"/>
      <c r="CB23" s="13"/>
      <c r="CC23" s="13"/>
      <c r="CD23" s="13"/>
      <c r="CE23" s="13"/>
      <c r="CF23" s="13"/>
      <c r="CG23" s="13"/>
      <c r="CH23" s="17">
        <f>BZ23+CD23</f>
        <v>0</v>
      </c>
      <c r="CI23" s="16"/>
      <c r="CJ23" s="12"/>
      <c r="CK23" s="12">
        <v>420</v>
      </c>
      <c r="CL23" s="13">
        <f t="shared" si="17"/>
        <v>420</v>
      </c>
      <c r="CM23" s="13"/>
      <c r="CN23" s="13"/>
      <c r="CO23" s="13"/>
      <c r="CP23" s="13">
        <f t="shared" si="18"/>
        <v>0</v>
      </c>
      <c r="CQ23" s="13">
        <f t="shared" si="23"/>
        <v>0</v>
      </c>
      <c r="CR23" s="13">
        <f t="shared" si="23"/>
        <v>0</v>
      </c>
      <c r="CS23" s="13">
        <f t="shared" si="23"/>
        <v>420</v>
      </c>
      <c r="CT23" s="17">
        <f t="shared" si="20"/>
        <v>420</v>
      </c>
    </row>
    <row r="24" spans="1:98" ht="15" customHeight="1">
      <c r="A24" s="8"/>
      <c r="B24" s="9" t="s">
        <v>41</v>
      </c>
      <c r="C24" s="10">
        <f aca="true" t="shared" si="24" ref="C24:BN24">SUM(C6:C22)</f>
        <v>26389.6</v>
      </c>
      <c r="D24" s="10">
        <f t="shared" si="24"/>
        <v>10924.16</v>
      </c>
      <c r="E24" s="10">
        <f t="shared" si="24"/>
        <v>6584.3099999999995</v>
      </c>
      <c r="F24" s="10">
        <f t="shared" si="24"/>
        <v>17481.67</v>
      </c>
      <c r="G24" s="10">
        <f t="shared" si="24"/>
        <v>144974.04</v>
      </c>
      <c r="H24" s="10">
        <f t="shared" si="24"/>
        <v>10388.160000000005</v>
      </c>
      <c r="I24" s="10">
        <f t="shared" si="24"/>
        <v>72381.31999999999</v>
      </c>
      <c r="J24" s="10">
        <f t="shared" si="24"/>
        <v>82769.48</v>
      </c>
      <c r="K24" s="10">
        <f t="shared" si="24"/>
        <v>171363.64</v>
      </c>
      <c r="L24" s="10">
        <f t="shared" si="24"/>
        <v>21312.320000000003</v>
      </c>
      <c r="M24" s="10">
        <f t="shared" si="24"/>
        <v>78965.62999999999</v>
      </c>
      <c r="N24" s="12">
        <f t="shared" si="24"/>
        <v>100251.15000000001</v>
      </c>
      <c r="O24" s="12">
        <f t="shared" si="24"/>
        <v>21921.78</v>
      </c>
      <c r="P24" s="12">
        <f t="shared" si="24"/>
        <v>7057.68</v>
      </c>
      <c r="Q24" s="12">
        <f t="shared" si="24"/>
        <v>4084.9</v>
      </c>
      <c r="R24" s="12">
        <f t="shared" si="24"/>
        <v>11142.580000000002</v>
      </c>
      <c r="S24" s="12">
        <f t="shared" si="24"/>
        <v>249223.35</v>
      </c>
      <c r="T24" s="12">
        <f t="shared" si="24"/>
        <v>17935.35</v>
      </c>
      <c r="U24" s="12">
        <f t="shared" si="24"/>
        <v>34827.04</v>
      </c>
      <c r="V24" s="12">
        <f t="shared" si="24"/>
        <v>52762.39000000001</v>
      </c>
      <c r="W24" s="12">
        <f t="shared" si="24"/>
        <v>271145.13</v>
      </c>
      <c r="X24" s="12">
        <f t="shared" si="24"/>
        <v>24993.030000000002</v>
      </c>
      <c r="Y24" s="12">
        <f t="shared" si="24"/>
        <v>38911.94</v>
      </c>
      <c r="Z24" s="12">
        <f t="shared" si="24"/>
        <v>63904.97</v>
      </c>
      <c r="AA24" s="12">
        <f t="shared" si="24"/>
        <v>27636.18</v>
      </c>
      <c r="AB24" s="12">
        <f t="shared" si="24"/>
        <v>8665.4</v>
      </c>
      <c r="AC24" s="12">
        <f t="shared" si="24"/>
        <v>2599.8</v>
      </c>
      <c r="AD24" s="12">
        <f t="shared" si="24"/>
        <v>11265.2</v>
      </c>
      <c r="AE24" s="12">
        <f t="shared" si="24"/>
        <v>129681.78</v>
      </c>
      <c r="AF24" s="12">
        <f t="shared" si="24"/>
        <v>6073.970000000001</v>
      </c>
      <c r="AG24" s="12">
        <f t="shared" si="24"/>
        <v>5967.99</v>
      </c>
      <c r="AH24" s="12">
        <f t="shared" si="24"/>
        <v>12041.96</v>
      </c>
      <c r="AI24" s="12">
        <f t="shared" si="24"/>
        <v>157317.96</v>
      </c>
      <c r="AJ24" s="12">
        <f t="shared" si="24"/>
        <v>14739.370000000003</v>
      </c>
      <c r="AK24" s="12">
        <f t="shared" si="24"/>
        <v>8567.79</v>
      </c>
      <c r="AL24" s="12">
        <f t="shared" si="24"/>
        <v>23307.160000000003</v>
      </c>
      <c r="AM24" s="12">
        <f t="shared" si="24"/>
        <v>20217.9</v>
      </c>
      <c r="AN24" s="12">
        <f t="shared" si="24"/>
        <v>2526.27</v>
      </c>
      <c r="AO24" s="12">
        <f t="shared" si="24"/>
        <v>3994.76</v>
      </c>
      <c r="AP24" s="12">
        <f t="shared" si="24"/>
        <v>6521.030000000001</v>
      </c>
      <c r="AQ24" s="12">
        <f t="shared" si="24"/>
        <v>65853.73</v>
      </c>
      <c r="AR24" s="12">
        <f t="shared" si="24"/>
        <v>13202.300000000003</v>
      </c>
      <c r="AS24" s="12">
        <f t="shared" si="24"/>
        <v>24845.96</v>
      </c>
      <c r="AT24" s="12">
        <f t="shared" si="24"/>
        <v>38048.26</v>
      </c>
      <c r="AU24" s="12">
        <f t="shared" si="24"/>
        <v>86071.63</v>
      </c>
      <c r="AV24" s="12">
        <f t="shared" si="24"/>
        <v>15728.570000000002</v>
      </c>
      <c r="AW24" s="12">
        <f t="shared" si="24"/>
        <v>28840.719999999998</v>
      </c>
      <c r="AX24" s="12">
        <f t="shared" si="24"/>
        <v>44569.29</v>
      </c>
      <c r="AY24" s="12">
        <f t="shared" si="24"/>
        <v>18022.05</v>
      </c>
      <c r="AZ24" s="12">
        <f t="shared" si="24"/>
        <v>13168.16</v>
      </c>
      <c r="BA24" s="12">
        <f t="shared" si="24"/>
        <v>2177.2799999999997</v>
      </c>
      <c r="BB24" s="12">
        <f t="shared" si="24"/>
        <v>15345.339999999998</v>
      </c>
      <c r="BC24" s="12">
        <f t="shared" si="24"/>
        <v>51638.200000000004</v>
      </c>
      <c r="BD24" s="12">
        <f t="shared" si="24"/>
        <v>21335.86</v>
      </c>
      <c r="BE24" s="12">
        <f t="shared" si="24"/>
        <v>11756.9</v>
      </c>
      <c r="BF24" s="12">
        <f t="shared" si="24"/>
        <v>33092.759999999995</v>
      </c>
      <c r="BG24" s="12">
        <f t="shared" si="24"/>
        <v>69660.25</v>
      </c>
      <c r="BH24" s="12">
        <f t="shared" si="24"/>
        <v>34504.02</v>
      </c>
      <c r="BI24" s="12">
        <f t="shared" si="24"/>
        <v>13934.18</v>
      </c>
      <c r="BJ24" s="12">
        <f t="shared" si="24"/>
        <v>48438.1</v>
      </c>
      <c r="BK24" s="12">
        <f t="shared" si="24"/>
        <v>19363.199999999997</v>
      </c>
      <c r="BL24" s="12">
        <f t="shared" si="24"/>
        <v>3716.83</v>
      </c>
      <c r="BM24" s="12">
        <f t="shared" si="24"/>
        <v>5892.129999999999</v>
      </c>
      <c r="BN24" s="12">
        <f t="shared" si="24"/>
        <v>9608.96</v>
      </c>
      <c r="BO24" s="12">
        <f aca="true" t="shared" si="25" ref="BO24:CT24">SUM(BO6:BO22)</f>
        <v>109459.90000000001</v>
      </c>
      <c r="BP24" s="12">
        <f t="shared" si="25"/>
        <v>18337.23</v>
      </c>
      <c r="BQ24" s="12">
        <f t="shared" si="25"/>
        <v>25697.61</v>
      </c>
      <c r="BR24" s="12">
        <f t="shared" si="25"/>
        <v>44034.840000000004</v>
      </c>
      <c r="BS24" s="12">
        <f t="shared" si="25"/>
        <v>128823.1</v>
      </c>
      <c r="BT24" s="12">
        <f t="shared" si="25"/>
        <v>22054.059999999998</v>
      </c>
      <c r="BU24" s="12">
        <f t="shared" si="25"/>
        <v>31589.739999999998</v>
      </c>
      <c r="BV24" s="12">
        <f t="shared" si="25"/>
        <v>53643.80000000001</v>
      </c>
      <c r="BW24" s="12">
        <f t="shared" si="25"/>
        <v>21112.75</v>
      </c>
      <c r="BX24" s="12">
        <f t="shared" si="25"/>
        <v>3462.4199999999996</v>
      </c>
      <c r="BY24" s="12">
        <f t="shared" si="25"/>
        <v>10611.24</v>
      </c>
      <c r="BZ24" s="12">
        <f t="shared" si="25"/>
        <v>14073.66</v>
      </c>
      <c r="CA24" s="12">
        <f t="shared" si="25"/>
        <v>78631.71</v>
      </c>
      <c r="CB24" s="12">
        <f t="shared" si="25"/>
        <v>19150.29</v>
      </c>
      <c r="CC24" s="12">
        <f t="shared" si="25"/>
        <v>32029.839999999997</v>
      </c>
      <c r="CD24" s="12">
        <f t="shared" si="25"/>
        <v>51180.13</v>
      </c>
      <c r="CE24" s="12">
        <f t="shared" si="25"/>
        <v>99744.46</v>
      </c>
      <c r="CF24" s="12">
        <f t="shared" si="25"/>
        <v>22612.71</v>
      </c>
      <c r="CG24" s="12">
        <f t="shared" si="25"/>
        <v>42641.079999999994</v>
      </c>
      <c r="CH24" s="12">
        <f t="shared" si="25"/>
        <v>65253.78999999999</v>
      </c>
      <c r="CI24" s="12">
        <f t="shared" si="25"/>
        <v>28874.6</v>
      </c>
      <c r="CJ24" s="12">
        <f t="shared" si="25"/>
        <v>2621.19</v>
      </c>
      <c r="CK24" s="12">
        <f t="shared" si="25"/>
        <v>17193.54</v>
      </c>
      <c r="CL24" s="12">
        <f t="shared" si="25"/>
        <v>19814.73</v>
      </c>
      <c r="CM24" s="12">
        <f t="shared" si="25"/>
        <v>33262</v>
      </c>
      <c r="CN24" s="12">
        <f t="shared" si="25"/>
        <v>16093.15</v>
      </c>
      <c r="CO24" s="12">
        <f t="shared" si="25"/>
        <v>19952.660000000003</v>
      </c>
      <c r="CP24" s="12">
        <f t="shared" si="25"/>
        <v>36045.810000000005</v>
      </c>
      <c r="CQ24" s="12">
        <f t="shared" si="25"/>
        <v>61988.6</v>
      </c>
      <c r="CR24" s="12">
        <f t="shared" si="25"/>
        <v>18714.339999999997</v>
      </c>
      <c r="CS24" s="12">
        <f t="shared" si="25"/>
        <v>37146.200000000004</v>
      </c>
      <c r="CT24" s="12">
        <f t="shared" si="25"/>
        <v>55860.54</v>
      </c>
    </row>
    <row r="25" spans="1:98" ht="15" customHeight="1" thickBot="1">
      <c r="A25" s="8"/>
      <c r="B25" s="18" t="s">
        <v>42</v>
      </c>
      <c r="C25" s="10">
        <f aca="true" t="shared" si="26" ref="C25:BN25">C4+C24</f>
        <v>698593.6</v>
      </c>
      <c r="D25" s="10">
        <f t="shared" si="26"/>
        <v>480650.25999999995</v>
      </c>
      <c r="E25" s="10">
        <f t="shared" si="26"/>
        <v>8490.71</v>
      </c>
      <c r="F25" s="10">
        <f t="shared" si="26"/>
        <v>489114.17</v>
      </c>
      <c r="G25" s="10">
        <f t="shared" si="26"/>
        <v>201417.64</v>
      </c>
      <c r="H25" s="10">
        <f t="shared" si="26"/>
        <v>47073.14000000001</v>
      </c>
      <c r="I25" s="10">
        <f t="shared" si="26"/>
        <v>72381.31999999999</v>
      </c>
      <c r="J25" s="10">
        <f t="shared" si="26"/>
        <v>119454.45999999999</v>
      </c>
      <c r="K25" s="10">
        <f t="shared" si="26"/>
        <v>900011.24</v>
      </c>
      <c r="L25" s="10">
        <f t="shared" si="26"/>
        <v>527723.3999999999</v>
      </c>
      <c r="M25" s="10">
        <f t="shared" si="26"/>
        <v>80872.02999999998</v>
      </c>
      <c r="N25" s="12">
        <f t="shared" si="26"/>
        <v>608568.63</v>
      </c>
      <c r="O25" s="12">
        <f t="shared" si="26"/>
        <v>681544.28</v>
      </c>
      <c r="P25" s="12">
        <f t="shared" si="26"/>
        <v>404725.77999999997</v>
      </c>
      <c r="Q25" s="12">
        <f t="shared" si="26"/>
        <v>4084.9</v>
      </c>
      <c r="R25" s="12">
        <f t="shared" si="26"/>
        <v>408810.68</v>
      </c>
      <c r="S25" s="12">
        <f t="shared" si="26"/>
        <v>317783.45</v>
      </c>
      <c r="T25" s="12">
        <f t="shared" si="26"/>
        <v>70076.65</v>
      </c>
      <c r="U25" s="12">
        <f t="shared" si="26"/>
        <v>34827.04</v>
      </c>
      <c r="V25" s="12">
        <f t="shared" si="26"/>
        <v>104903.69</v>
      </c>
      <c r="W25" s="12">
        <f t="shared" si="26"/>
        <v>999327.73</v>
      </c>
      <c r="X25" s="12">
        <f t="shared" si="26"/>
        <v>474802.43</v>
      </c>
      <c r="Y25" s="12">
        <f t="shared" si="26"/>
        <v>38911.94</v>
      </c>
      <c r="Z25" s="12">
        <f t="shared" si="26"/>
        <v>513714.37</v>
      </c>
      <c r="AA25" s="12">
        <f t="shared" si="26"/>
        <v>671802.68</v>
      </c>
      <c r="AB25" s="12">
        <f t="shared" si="26"/>
        <v>410776.1</v>
      </c>
      <c r="AC25" s="12">
        <f t="shared" si="26"/>
        <v>17516.7</v>
      </c>
      <c r="AD25" s="12">
        <f t="shared" si="26"/>
        <v>428292.8</v>
      </c>
      <c r="AE25" s="12">
        <f t="shared" si="26"/>
        <v>216952.78</v>
      </c>
      <c r="AF25" s="12">
        <f t="shared" si="26"/>
        <v>44659.67</v>
      </c>
      <c r="AG25" s="12">
        <f t="shared" si="26"/>
        <v>5967.99</v>
      </c>
      <c r="AH25" s="12">
        <f t="shared" si="26"/>
        <v>50627.659999999996</v>
      </c>
      <c r="AI25" s="12">
        <f t="shared" si="26"/>
        <v>888755.46</v>
      </c>
      <c r="AJ25" s="12">
        <f t="shared" si="26"/>
        <v>455435.76999999996</v>
      </c>
      <c r="AK25" s="12">
        <f t="shared" si="26"/>
        <v>23484.690000000002</v>
      </c>
      <c r="AL25" s="12">
        <f t="shared" si="26"/>
        <v>478920.45999999996</v>
      </c>
      <c r="AM25" s="12">
        <f t="shared" si="26"/>
        <v>697426.9</v>
      </c>
      <c r="AN25" s="12">
        <f t="shared" si="26"/>
        <v>442724.17000000004</v>
      </c>
      <c r="AO25" s="12">
        <f t="shared" si="26"/>
        <v>3994.76</v>
      </c>
      <c r="AP25" s="12">
        <f t="shared" si="26"/>
        <v>446718.93000000005</v>
      </c>
      <c r="AQ25" s="12">
        <f t="shared" si="26"/>
        <v>136437.13</v>
      </c>
      <c r="AR25" s="12">
        <f t="shared" si="26"/>
        <v>34439.700000000004</v>
      </c>
      <c r="AS25" s="12">
        <f t="shared" si="26"/>
        <v>24845.96</v>
      </c>
      <c r="AT25" s="12">
        <f t="shared" si="26"/>
        <v>59285.66</v>
      </c>
      <c r="AU25" s="12">
        <f t="shared" si="26"/>
        <v>833864.03</v>
      </c>
      <c r="AV25" s="12">
        <f t="shared" si="26"/>
        <v>477163.87000000005</v>
      </c>
      <c r="AW25" s="12">
        <f t="shared" si="26"/>
        <v>28840.719999999998</v>
      </c>
      <c r="AX25" s="12">
        <f t="shared" si="26"/>
        <v>506004.59</v>
      </c>
      <c r="AY25" s="19">
        <f t="shared" si="26"/>
        <v>620348.55</v>
      </c>
      <c r="AZ25" s="20">
        <f t="shared" si="26"/>
        <v>304748.36</v>
      </c>
      <c r="BA25" s="20">
        <f t="shared" si="26"/>
        <v>2177.2799999999997</v>
      </c>
      <c r="BB25" s="20">
        <f t="shared" si="26"/>
        <v>306925.54000000004</v>
      </c>
      <c r="BC25" s="20">
        <f t="shared" si="26"/>
        <v>127392.6</v>
      </c>
      <c r="BD25" s="20">
        <f t="shared" si="26"/>
        <v>26726.260000000002</v>
      </c>
      <c r="BE25" s="20">
        <f t="shared" si="26"/>
        <v>11756.9</v>
      </c>
      <c r="BF25" s="20">
        <f t="shared" si="26"/>
        <v>38483.159999999996</v>
      </c>
      <c r="BG25" s="20">
        <f t="shared" si="26"/>
        <v>747741.15</v>
      </c>
      <c r="BH25" s="20">
        <f t="shared" si="26"/>
        <v>331474.62000000005</v>
      </c>
      <c r="BI25" s="20">
        <f t="shared" si="26"/>
        <v>13934.18</v>
      </c>
      <c r="BJ25" s="21">
        <f t="shared" si="26"/>
        <v>345408.7</v>
      </c>
      <c r="BK25" s="22">
        <f t="shared" si="26"/>
        <v>412048.2</v>
      </c>
      <c r="BL25" s="23">
        <f t="shared" si="26"/>
        <v>274868.13</v>
      </c>
      <c r="BM25" s="23">
        <f t="shared" si="26"/>
        <v>7850.829999999999</v>
      </c>
      <c r="BN25" s="23">
        <f t="shared" si="26"/>
        <v>282718.96</v>
      </c>
      <c r="BO25" s="23">
        <f aca="true" t="shared" si="27" ref="BO25:CT25">BO4+BO24</f>
        <v>183323.90000000002</v>
      </c>
      <c r="BP25" s="23">
        <f t="shared" si="27"/>
        <v>34044.229999999996</v>
      </c>
      <c r="BQ25" s="23">
        <f t="shared" si="27"/>
        <v>25697.61</v>
      </c>
      <c r="BR25" s="23">
        <f t="shared" si="27"/>
        <v>59741.840000000004</v>
      </c>
      <c r="BS25" s="23">
        <f t="shared" si="27"/>
        <v>595372.1</v>
      </c>
      <c r="BT25" s="23">
        <f t="shared" si="27"/>
        <v>308912.36</v>
      </c>
      <c r="BU25" s="23">
        <f t="shared" si="27"/>
        <v>33548.439999999995</v>
      </c>
      <c r="BV25" s="24">
        <f t="shared" si="27"/>
        <v>342460.8</v>
      </c>
      <c r="BW25" s="22">
        <f t="shared" si="27"/>
        <v>496782.25</v>
      </c>
      <c r="BX25" s="23">
        <f t="shared" si="27"/>
        <v>276845.92</v>
      </c>
      <c r="BY25" s="23">
        <f t="shared" si="27"/>
        <v>46128.54</v>
      </c>
      <c r="BZ25" s="23">
        <f t="shared" si="27"/>
        <v>322974.45999999996</v>
      </c>
      <c r="CA25" s="23">
        <f t="shared" si="27"/>
        <v>138030.71000000002</v>
      </c>
      <c r="CB25" s="23">
        <f t="shared" si="27"/>
        <v>32534.89</v>
      </c>
      <c r="CC25" s="23">
        <f t="shared" si="27"/>
        <v>32029.839999999997</v>
      </c>
      <c r="CD25" s="23">
        <f t="shared" si="27"/>
        <v>64564.729999999996</v>
      </c>
      <c r="CE25" s="23">
        <f t="shared" si="27"/>
        <v>634812.96</v>
      </c>
      <c r="CF25" s="23">
        <f t="shared" si="27"/>
        <v>309380.81</v>
      </c>
      <c r="CG25" s="23">
        <f t="shared" si="27"/>
        <v>78158.38</v>
      </c>
      <c r="CH25" s="24">
        <f t="shared" si="27"/>
        <v>387539.18999999994</v>
      </c>
      <c r="CI25" s="25">
        <f t="shared" si="27"/>
        <v>544842.6</v>
      </c>
      <c r="CJ25" s="24">
        <f t="shared" si="27"/>
        <v>351700.09</v>
      </c>
      <c r="CK25" s="24">
        <f t="shared" si="27"/>
        <v>23671.84</v>
      </c>
      <c r="CL25" s="24">
        <f t="shared" si="27"/>
        <v>375371.93</v>
      </c>
      <c r="CM25" s="24">
        <f t="shared" si="27"/>
        <v>92914</v>
      </c>
      <c r="CN25" s="24">
        <f t="shared" si="27"/>
        <v>23692.15</v>
      </c>
      <c r="CO25" s="24">
        <f t="shared" si="27"/>
        <v>19952.660000000003</v>
      </c>
      <c r="CP25" s="23">
        <f t="shared" si="27"/>
        <v>43644.810000000005</v>
      </c>
      <c r="CQ25" s="23">
        <f t="shared" si="27"/>
        <v>637608.6</v>
      </c>
      <c r="CR25" s="23">
        <f t="shared" si="27"/>
        <v>375392.24</v>
      </c>
      <c r="CS25" s="23">
        <f t="shared" si="27"/>
        <v>43624.50000000001</v>
      </c>
      <c r="CT25" s="24">
        <f t="shared" si="27"/>
        <v>419016.74</v>
      </c>
    </row>
    <row r="26" spans="2:87" ht="12.75" customHeight="1" hidden="1">
      <c r="B26" s="1" t="s">
        <v>43</v>
      </c>
      <c r="C26" s="26"/>
      <c r="D26" s="26">
        <f>D24/C24%</f>
        <v>41.3957013368903</v>
      </c>
      <c r="E26" s="26">
        <f>E24/C24%</f>
        <v>24.950397126140604</v>
      </c>
      <c r="F26" s="26">
        <f>F24/C24%</f>
        <v>66.24454330493832</v>
      </c>
      <c r="G26" s="26"/>
      <c r="H26" s="26">
        <f>H24/G24%</f>
        <v>7.165531153025745</v>
      </c>
      <c r="I26" s="26">
        <f>I24/G24%</f>
        <v>49.927090394942425</v>
      </c>
      <c r="J26" s="26">
        <f>J24/G24%</f>
        <v>57.092621547968164</v>
      </c>
      <c r="K26" s="26"/>
      <c r="L26" s="26">
        <f>L24/K24%</f>
        <v>12.436897348819155</v>
      </c>
      <c r="M26" s="26">
        <f>M24/K24%</f>
        <v>46.080738014201835</v>
      </c>
      <c r="N26" s="26">
        <f>N24/K24%</f>
        <v>58.50199610605844</v>
      </c>
      <c r="O26" s="26"/>
      <c r="P26" s="26">
        <f>P24/O24%</f>
        <v>32.19483089420659</v>
      </c>
      <c r="Q26" s="26">
        <f>Q24/O24%</f>
        <v>18.63397953998261</v>
      </c>
      <c r="R26" s="26">
        <f>R24/O24%</f>
        <v>50.82881043418921</v>
      </c>
      <c r="S26" s="26"/>
      <c r="T26" s="26">
        <f>T24/S24%</f>
        <v>7.196496636450797</v>
      </c>
      <c r="U26" s="26">
        <f>U24/S24%</f>
        <v>13.974228337754065</v>
      </c>
      <c r="V26" s="26">
        <f>V24/S24%</f>
        <v>21.170724974204866</v>
      </c>
      <c r="W26" s="26"/>
      <c r="X26" s="26">
        <f>X24/W24%</f>
        <v>9.217583955868948</v>
      </c>
      <c r="Y26" s="26">
        <f>Y24/W24%</f>
        <v>14.350964002193216</v>
      </c>
      <c r="Z26" s="26">
        <f>Z24/W24%</f>
        <v>23.56854795806216</v>
      </c>
      <c r="AA26" s="26"/>
      <c r="AB26" s="26">
        <f>AB24/AA24%</f>
        <v>31.355274137018935</v>
      </c>
      <c r="AC26" s="26">
        <f>AC24/AA24%</f>
        <v>9.407233561223006</v>
      </c>
      <c r="AD26" s="26">
        <f>AD24/AA24%</f>
        <v>40.76250769824194</v>
      </c>
      <c r="AE26" s="26"/>
      <c r="AF26" s="26">
        <f>AF24/AE24%</f>
        <v>4.683749714107873</v>
      </c>
      <c r="AG26" s="26">
        <f>AG24/AE24%</f>
        <v>4.60202659155357</v>
      </c>
      <c r="AH26" s="26">
        <f>AH24/AE24%</f>
        <v>9.285776305661441</v>
      </c>
      <c r="AI26" s="26"/>
      <c r="AJ26" s="26">
        <f>AJ24/AI24%</f>
        <v>9.36915912207354</v>
      </c>
      <c r="AK26" s="26">
        <f>AK24/AI24%</f>
        <v>5.4461613918715965</v>
      </c>
      <c r="AL26" s="26">
        <f>AL24/AI24%</f>
        <v>14.815320513945137</v>
      </c>
      <c r="AM26" s="26"/>
      <c r="AN26" s="26">
        <f>AN24/AM24%</f>
        <v>12.495214636534952</v>
      </c>
      <c r="AO26" s="26">
        <f>AO24/AM24%</f>
        <v>19.75853080685927</v>
      </c>
      <c r="AP26" s="26">
        <f>AP24/AM24%</f>
        <v>32.25374544339422</v>
      </c>
      <c r="AQ26" s="26"/>
      <c r="AR26" s="26">
        <f>AR24/AQ24%</f>
        <v>20.047915281336387</v>
      </c>
      <c r="AS26" s="26">
        <f>AS24/AQ24%</f>
        <v>37.729009427408286</v>
      </c>
      <c r="AT26" s="26">
        <f>AT24/AQ24%</f>
        <v>57.77692470874467</v>
      </c>
      <c r="AU26" s="26"/>
      <c r="AV26" s="26">
        <f>AV24/AU24%</f>
        <v>18.273814496135373</v>
      </c>
      <c r="AW26" s="26">
        <f>AW24/AU24%</f>
        <v>33.50781203980917</v>
      </c>
      <c r="AX26" s="26">
        <f>AX24/AU24%</f>
        <v>51.78162653594454</v>
      </c>
      <c r="AY26" s="26"/>
      <c r="AZ26" s="26">
        <f>AZ24/AY24%</f>
        <v>73.06693744607301</v>
      </c>
      <c r="BA26" s="26">
        <f>BA24/AY24%</f>
        <v>12.081200529351543</v>
      </c>
      <c r="BB26" s="26">
        <f>BB24/AY24%</f>
        <v>85.14758309959188</v>
      </c>
      <c r="BC26" s="26"/>
      <c r="BD26" s="26">
        <f>BD24/BC24%</f>
        <v>41.31797777614246</v>
      </c>
      <c r="BE26" s="26">
        <f>BE24/BC24%</f>
        <v>22.767834665034798</v>
      </c>
      <c r="BF26" s="26">
        <f>BF24/BC24%</f>
        <v>64.08581244117725</v>
      </c>
      <c r="BG26" s="26"/>
      <c r="BH26" s="26">
        <f>BH24/BG24%</f>
        <v>49.5318635807365</v>
      </c>
      <c r="BI26" s="26">
        <f>BI24/BG24%</f>
        <v>20.003057697898015</v>
      </c>
      <c r="BJ26" s="26">
        <f>BJ24/BG24%</f>
        <v>69.5347777247426</v>
      </c>
      <c r="BK26" s="26"/>
      <c r="BL26" s="26">
        <f>BL24/BK24%</f>
        <v>19.195329284415802</v>
      </c>
      <c r="BM26" s="26">
        <f>BM24/BK24%</f>
        <v>30.429526111386547</v>
      </c>
      <c r="BN26" s="26">
        <f>BN24/BK24%</f>
        <v>49.62485539580235</v>
      </c>
      <c r="BO26" s="26"/>
      <c r="BP26" s="26">
        <f>BP24/BO24%</f>
        <v>16.75246368761528</v>
      </c>
      <c r="BQ26" s="26">
        <f>BQ24/BO24%</f>
        <v>23.476734402278822</v>
      </c>
      <c r="BR26" s="26">
        <f>BR24/BO24%</f>
        <v>40.229198089894105</v>
      </c>
      <c r="BS26" s="26"/>
      <c r="BT26" s="26">
        <f>BT24/BS24%</f>
        <v>17.119647019827966</v>
      </c>
      <c r="BU26" s="26">
        <f>BU24/BS24%</f>
        <v>24.521797721060896</v>
      </c>
      <c r="BV26" s="26">
        <f>BV24/BS24%</f>
        <v>41.64144474088887</v>
      </c>
      <c r="BW26" s="26"/>
      <c r="BX26" s="26">
        <f>BX24/BW24%</f>
        <v>16.399663710317224</v>
      </c>
      <c r="BY26" s="26">
        <f>BY24/BW24%</f>
        <v>50.25986666824549</v>
      </c>
      <c r="BZ26" s="26">
        <f>BZ24/BW24%</f>
        <v>66.65953037856272</v>
      </c>
      <c r="CA26" s="26"/>
      <c r="CB26" s="26">
        <f>CB24/CA24%</f>
        <v>24.354411216543554</v>
      </c>
      <c r="CC26" s="26">
        <f>CC24/CA24%</f>
        <v>40.73399904440587</v>
      </c>
      <c r="CD26" s="26">
        <f>CD24/CA24%</f>
        <v>65.08841026094942</v>
      </c>
      <c r="CE26" s="26"/>
      <c r="CF26" s="26">
        <f>CF24/CE24%</f>
        <v>22.670642559997816</v>
      </c>
      <c r="CG26" s="26">
        <f>CG24/CE24%</f>
        <v>42.75032417840549</v>
      </c>
      <c r="CH26" s="26">
        <f>CH24/CE24%</f>
        <v>65.42096673840331</v>
      </c>
      <c r="CI26" s="26"/>
    </row>
    <row r="27" spans="14:74" ht="12.75" customHeight="1"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</row>
  </sheetData>
  <sheetProtection/>
  <mergeCells count="34">
    <mergeCell ref="CI2:CL2"/>
    <mergeCell ref="CM2:CP2"/>
    <mergeCell ref="CQ2:CQ3"/>
    <mergeCell ref="CR2:CT2"/>
    <mergeCell ref="BS2:BS3"/>
    <mergeCell ref="BT2:BV2"/>
    <mergeCell ref="BW2:BZ2"/>
    <mergeCell ref="CA2:CD2"/>
    <mergeCell ref="CE2:CE3"/>
    <mergeCell ref="CF2:CH2"/>
    <mergeCell ref="AY2:BB2"/>
    <mergeCell ref="BC2:BF2"/>
    <mergeCell ref="BG2:BG3"/>
    <mergeCell ref="BH2:BJ2"/>
    <mergeCell ref="BK2:BN2"/>
    <mergeCell ref="BO2:BR2"/>
    <mergeCell ref="AY1:BJ1"/>
    <mergeCell ref="BK1:BV1"/>
    <mergeCell ref="BW1:CH1"/>
    <mergeCell ref="CI1:CT1"/>
    <mergeCell ref="C2:F2"/>
    <mergeCell ref="G2:J2"/>
    <mergeCell ref="O2:R2"/>
    <mergeCell ref="S2:V2"/>
    <mergeCell ref="AA2:AD2"/>
    <mergeCell ref="AE2:AH2"/>
    <mergeCell ref="A1:A3"/>
    <mergeCell ref="B1:B3"/>
    <mergeCell ref="C1:N1"/>
    <mergeCell ref="O1:Z1"/>
    <mergeCell ref="AA1:AL1"/>
    <mergeCell ref="AM1:AX1"/>
    <mergeCell ref="AM2:AP2"/>
    <mergeCell ref="AQ2:AT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 Mishra</dc:creator>
  <cp:keywords/>
  <dc:description/>
  <cp:lastModifiedBy>CS</cp:lastModifiedBy>
  <dcterms:created xsi:type="dcterms:W3CDTF">1996-10-14T23:33:28Z</dcterms:created>
  <dcterms:modified xsi:type="dcterms:W3CDTF">2020-09-13T22:18:57Z</dcterms:modified>
  <cp:category/>
  <cp:version/>
  <cp:contentType/>
  <cp:contentStatus/>
</cp:coreProperties>
</file>